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worksheets/sheet10.xml" ContentType="application/vnd.openxmlformats-officedocument.spreadsheetml.worksheet+xml"/>
  <Override PartName="/xl/worksheets/sheet8.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9.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825" windowWidth="13620" windowHeight="6930" tabRatio="872"/>
  </bookViews>
  <sheets>
    <sheet name="Consolidated income statement" sheetId="1" r:id="rId1"/>
    <sheet name="Comprehensive income statement" sheetId="16" r:id="rId2"/>
    <sheet name="Statement of financial position" sheetId="2" r:id="rId3"/>
    <sheet name="Statement of changes in equity" sheetId="15" r:id="rId4"/>
    <sheet name="Operating profit excl. EO items" sheetId="12" r:id="rId5"/>
    <sheet name="Key figures" sheetId="5" r:id="rId6"/>
    <sheet name="Statement of cash flows" sheetId="3" r:id="rId7"/>
    <sheet name="Segment information" sheetId="6" r:id="rId8"/>
    <sheet name="Quarterly" sheetId="9" r:id="rId9"/>
    <sheet name="Intang asset, PPT, CAP COMM" sheetId="10" r:id="rId10"/>
    <sheet name="Related-party transactions" sheetId="11" r:id="rId11"/>
    <sheet name="Financial assets and liabilitie" sheetId="17" r:id="rId12"/>
    <sheet name="Contingent liabilities" sheetId="8" r:id="rId13"/>
  </sheets>
  <definedNames>
    <definedName name="_s" localSheetId="1">#REF!</definedName>
    <definedName name="_s" localSheetId="12">#REF!</definedName>
    <definedName name="_s" localSheetId="5">#REF!</definedName>
    <definedName name="_s" localSheetId="8">#REF!</definedName>
    <definedName name="_s" localSheetId="10">#REF!</definedName>
    <definedName name="_s" localSheetId="7">#REF!</definedName>
    <definedName name="_s" localSheetId="3">#REF!</definedName>
    <definedName name="_s">#REF!</definedName>
    <definedName name="a" localSheetId="1">#REF!</definedName>
    <definedName name="a" localSheetId="12">#REF!</definedName>
    <definedName name="a" localSheetId="5">#REF!</definedName>
    <definedName name="a" localSheetId="8">#REF!</definedName>
    <definedName name="a" localSheetId="10">#REF!</definedName>
    <definedName name="a" localSheetId="7">#REF!</definedName>
    <definedName name="a" localSheetId="3">#REF!</definedName>
    <definedName name="a">#REF!</definedName>
    <definedName name="d" localSheetId="1">#REF!</definedName>
    <definedName name="d" localSheetId="12">#REF!</definedName>
    <definedName name="d" localSheetId="5">#REF!</definedName>
    <definedName name="d" localSheetId="8">#REF!</definedName>
    <definedName name="d" localSheetId="10">#REF!</definedName>
    <definedName name="d" localSheetId="7">#REF!</definedName>
    <definedName name="d" localSheetId="3">#REF!</definedName>
    <definedName name="d">#REF!</definedName>
    <definedName name="e" localSheetId="5">#REF!</definedName>
    <definedName name="e">#REF!</definedName>
    <definedName name="f" localSheetId="5">#REF!</definedName>
    <definedName name="f" localSheetId="8">#REF!</definedName>
    <definedName name="f" localSheetId="7">#REF!</definedName>
    <definedName name="f" localSheetId="3">#REF!</definedName>
    <definedName name="f">#REF!</definedName>
    <definedName name="g" localSheetId="1">#REF!</definedName>
    <definedName name="g" localSheetId="12">#REF!</definedName>
    <definedName name="g" localSheetId="5">#REF!</definedName>
    <definedName name="g" localSheetId="8">#REF!</definedName>
    <definedName name="g" localSheetId="7">#REF!</definedName>
    <definedName name="g" localSheetId="3">#REF!</definedName>
    <definedName name="g">#REF!</definedName>
    <definedName name="h" localSheetId="1">#REF!</definedName>
    <definedName name="h" localSheetId="12">#REF!</definedName>
    <definedName name="h" localSheetId="5">#REF!</definedName>
    <definedName name="h" localSheetId="8">#REF!</definedName>
    <definedName name="h" localSheetId="10">#REF!</definedName>
    <definedName name="h" localSheetId="7">#REF!</definedName>
    <definedName name="h" localSheetId="3">#REF!</definedName>
    <definedName name="h">#REF!</definedName>
    <definedName name="j" localSheetId="1">#REF!</definedName>
    <definedName name="j" localSheetId="12">#REF!</definedName>
    <definedName name="j" localSheetId="5">#REF!</definedName>
    <definedName name="j" localSheetId="8">#REF!</definedName>
    <definedName name="j" localSheetId="10">#REF!</definedName>
    <definedName name="j" localSheetId="7">#REF!</definedName>
    <definedName name="j" localSheetId="3">#REF!</definedName>
    <definedName name="j">#REF!</definedName>
    <definedName name="k" localSheetId="1">#REF!</definedName>
    <definedName name="k" localSheetId="12">#REF!</definedName>
    <definedName name="k" localSheetId="5">#REF!</definedName>
    <definedName name="k" localSheetId="8">#REF!</definedName>
    <definedName name="k" localSheetId="10">#REF!</definedName>
    <definedName name="k" localSheetId="7">#REF!</definedName>
    <definedName name="k">#REF!</definedName>
    <definedName name="l" localSheetId="1">#REF!</definedName>
    <definedName name="l" localSheetId="12">#REF!</definedName>
    <definedName name="l" localSheetId="5">#REF!</definedName>
    <definedName name="l" localSheetId="8">#REF!</definedName>
    <definedName name="l" localSheetId="10">#REF!</definedName>
    <definedName name="l" localSheetId="7">#REF!</definedName>
    <definedName name="l">#REF!</definedName>
    <definedName name="Print_Area_MI" localSheetId="1">#REF!</definedName>
    <definedName name="Print_Area_MI" localSheetId="12">#REF!</definedName>
    <definedName name="Print_Area_MI" localSheetId="5">#REF!</definedName>
    <definedName name="Print_Area_MI" localSheetId="8">#REF!</definedName>
    <definedName name="Print_Area_MI" localSheetId="10">#REF!</definedName>
    <definedName name="Print_Area_MI" localSheetId="7">#REF!</definedName>
    <definedName name="Print_Area_MI">#REF!</definedName>
    <definedName name="q" localSheetId="5">#REF!</definedName>
    <definedName name="q">#REF!</definedName>
    <definedName name="RAHOITUS31.8." localSheetId="1">#REF!</definedName>
    <definedName name="RAHOITUS31.8." localSheetId="12">#REF!</definedName>
    <definedName name="RAHOITUS31.8." localSheetId="5">#REF!</definedName>
    <definedName name="RAHOITUS31.8." localSheetId="8">#REF!</definedName>
    <definedName name="RAHOITUS31.8." localSheetId="10">#REF!</definedName>
    <definedName name="RAHOITUS31.8." localSheetId="7">#REF!</definedName>
    <definedName name="RAHOITUS31.8.">#REF!</definedName>
    <definedName name="RAHOITUSPOHJA3112" localSheetId="1">#REF!</definedName>
    <definedName name="RAHOITUSPOHJA3112" localSheetId="12">#REF!</definedName>
    <definedName name="RAHOITUSPOHJA3112" localSheetId="5">#REF!</definedName>
    <definedName name="RAHOITUSPOHJA3112" localSheetId="8">#REF!</definedName>
    <definedName name="RAHOITUSPOHJA3112" localSheetId="10">#REF!</definedName>
    <definedName name="RAHOITUSPOHJA3112" localSheetId="7">#REF!</definedName>
    <definedName name="RAHOITUSPOHJA3112">#REF!</definedName>
    <definedName name="T" localSheetId="1">#REF!</definedName>
    <definedName name="T" localSheetId="10">#REF!</definedName>
    <definedName name="T">#REF!</definedName>
    <definedName name="TASE" localSheetId="1">#REF!</definedName>
    <definedName name="TASE" localSheetId="12">#REF!</definedName>
    <definedName name="TASE" localSheetId="5">#REF!</definedName>
    <definedName name="TASE" localSheetId="8">#REF!</definedName>
    <definedName name="TASE" localSheetId="10">#REF!</definedName>
    <definedName name="TASE" localSheetId="7">#REF!</definedName>
    <definedName name="TASE">#REF!</definedName>
    <definedName name="taseet" localSheetId="1" hidden="1">{#N/A,#N/A,FALSE,"TULOSLASKELMA";#N/A,#N/A,FALSE,"TASE";#N/A,#N/A,FALSE,"TASE  KAUSITTAIN";#N/A,#N/A,FALSE,"TULOSLASKELMA KAUSITTAIN"}</definedName>
    <definedName name="taseet" localSheetId="0"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5"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hidden="1">{#N/A,#N/A,FALSE,"TULOSLASKELMA";#N/A,#N/A,FALSE,"TASE";#N/A,#N/A,FALSE,"TASE  KAUSITTAIN";#N/A,#N/A,FALSE,"TULOSLASKELMA KAUSITTAIN"}</definedName>
    <definedName name="TULOSLASKELMA" localSheetId="1">#REF!</definedName>
    <definedName name="TULOSLASKELMA" localSheetId="12">#REF!</definedName>
    <definedName name="TULOSLASKELMA" localSheetId="5">#REF!</definedName>
    <definedName name="TULOSLASKELMA" localSheetId="8">#REF!</definedName>
    <definedName name="TULOSLASKELMA" localSheetId="10">#REF!</definedName>
    <definedName name="TULOSLASKELMA" localSheetId="7">#REF!</definedName>
    <definedName name="TULOSLASKELMA">#REF!</definedName>
    <definedName name="_xlnm.Print_Area" localSheetId="1">'Comprehensive income statement'!$A$1:$G$31</definedName>
    <definedName name="_xlnm.Print_Area" localSheetId="0">'Consolidated income statement'!$A$1:$J$43</definedName>
    <definedName name="_xlnm.Print_Area" localSheetId="12">'Contingent liabilities'!$A$1:$E$96</definedName>
    <definedName name="_xlnm.Print_Area" localSheetId="5">'Key figures'!$A$1:$F$29</definedName>
    <definedName name="_xlnm.Print_Area" localSheetId="4">'Operating profit excl. EO items'!$A$1:$F$20</definedName>
    <definedName name="_xlnm.Print_Area" localSheetId="8">Quarterly!$A$1:$H$35</definedName>
    <definedName name="_xlnm.Print_Area" localSheetId="10">'Related-party transactions'!$A$1:$E$25</definedName>
    <definedName name="_xlnm.Print_Area" localSheetId="7">'Segment information'!$A$1:$K$110</definedName>
    <definedName name="_xlnm.Print_Area" localSheetId="6">'Statement of cash flows'!$A$1:$D$67</definedName>
    <definedName name="_xlnm.Print_Area" localSheetId="2">'Statement of financial position'!$A$1:$D$89</definedName>
    <definedName name="_xlnm.Print_Area">#REF!</definedName>
    <definedName name="u" localSheetId="1">#REF!</definedName>
    <definedName name="u" localSheetId="12">#REF!</definedName>
    <definedName name="u" localSheetId="5">#REF!</definedName>
    <definedName name="u" localSheetId="8">#REF!</definedName>
    <definedName name="u" localSheetId="10">#REF!</definedName>
    <definedName name="u" localSheetId="7">#REF!</definedName>
    <definedName name="u">#REF!</definedName>
    <definedName name="w" localSheetId="5">#REF!</definedName>
    <definedName name="w">#REF!</definedName>
    <definedName name="wrn.RAHOITUSPOHJAT." localSheetId="1" hidden="1">{#N/A,#N/A,FALSE,"RAHOITUSPOHJA 31.12.96";#N/A,#N/A,FALSE,"RAHOITUSPOHJA 30.4.97";#N/A,#N/A,FALSE,"RAHOITUSPOHJA 31.8.97";#N/A,#N/A,FALSE,"RAHOITUSPOHJA 31.12.97"}</definedName>
    <definedName name="wrn.RAHOITUSPOHJAT." localSheetId="0"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5"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1" hidden="1">{#N/A,#N/A,FALSE,"TULOSLASKELMA";#N/A,#N/A,FALSE,"TASE";#N/A,#N/A,FALSE,"TASE  KAUSITTAIN";#N/A,#N/A,FALSE,"TULOSLASKELMA KAUSITTAIN"}</definedName>
    <definedName name="wrn.TULOKSET." localSheetId="0"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5"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hidden="1">{#N/A,#N/A,FALSE,"TULOSLASKELMA";#N/A,#N/A,FALSE,"TASE";#N/A,#N/A,FALSE,"TASE  KAUSITTAIN";#N/A,#N/A,FALSE,"TULOSLASKELMA KAUSITTAIN"}</definedName>
    <definedName name="Y" localSheetId="1">#REF!</definedName>
    <definedName name="Y" localSheetId="10">#REF!</definedName>
    <definedName name="Y">#REF!</definedName>
    <definedName name="ö" localSheetId="1">#REF!</definedName>
    <definedName name="ö" localSheetId="10">#REF!</definedName>
    <definedName name="ö">#REF!</definedName>
  </definedNames>
  <calcPr calcId="145621"/>
</workbook>
</file>

<file path=xl/calcChain.xml><?xml version="1.0" encoding="utf-8"?>
<calcChain xmlns="http://schemas.openxmlformats.org/spreadsheetml/2006/main">
  <c r="B13" i="10" l="1"/>
  <c r="C42" i="8" l="1"/>
  <c r="B17" i="1" l="1"/>
  <c r="B16" i="1"/>
  <c r="D12" i="5"/>
  <c r="E16" i="1"/>
  <c r="D9" i="5" l="1"/>
  <c r="B10" i="5" l="1"/>
  <c r="F24" i="16"/>
  <c r="F25" i="16"/>
  <c r="B25" i="16"/>
  <c r="D25" i="16"/>
  <c r="D24" i="16"/>
  <c r="H14" i="15"/>
  <c r="G13" i="15"/>
  <c r="G17" i="15" s="1"/>
  <c r="I11" i="15"/>
  <c r="F14" i="15"/>
  <c r="F17" i="15" s="1"/>
  <c r="E17" i="15" l="1"/>
  <c r="D17" i="15"/>
  <c r="B29" i="16" l="1"/>
  <c r="B28" i="16"/>
  <c r="B23" i="16"/>
  <c r="B22" i="16"/>
  <c r="B19" i="16"/>
  <c r="B16" i="16"/>
  <c r="B7" i="16"/>
  <c r="B24" i="10" l="1"/>
  <c r="C72" i="6" l="1"/>
  <c r="B11" i="12" l="1"/>
  <c r="B19" i="12"/>
  <c r="B12" i="12"/>
  <c r="B98" i="6" l="1"/>
  <c r="B72" i="6"/>
  <c r="B33" i="1" l="1"/>
  <c r="B27" i="1"/>
  <c r="B23" i="1"/>
  <c r="B22" i="1"/>
  <c r="B20" i="1"/>
  <c r="B15" i="1"/>
  <c r="B14" i="1"/>
  <c r="B13" i="1"/>
  <c r="B11" i="1"/>
  <c r="B9" i="1"/>
  <c r="B7" i="1"/>
  <c r="D98" i="6" l="1"/>
  <c r="F32" i="1" l="1"/>
  <c r="B12" i="5" l="1"/>
  <c r="B11" i="5"/>
  <c r="F27" i="17" l="1"/>
  <c r="G27" i="17"/>
  <c r="H27" i="17"/>
  <c r="E27" i="17"/>
  <c r="D17" i="17"/>
  <c r="E17" i="17"/>
  <c r="F17" i="17"/>
  <c r="G17" i="17"/>
  <c r="H17" i="17"/>
  <c r="C17" i="17"/>
  <c r="B60" i="8"/>
  <c r="C43" i="8"/>
  <c r="B43" i="8"/>
  <c r="B83" i="2" l="1"/>
  <c r="B8" i="12" l="1"/>
  <c r="E7" i="1" l="1"/>
  <c r="E11" i="1" s="1"/>
  <c r="E20" i="1" s="1"/>
  <c r="E25" i="1" s="1"/>
  <c r="E29" i="1" s="1"/>
  <c r="B37" i="1"/>
  <c r="B36" i="1"/>
  <c r="E32" i="1" l="1"/>
  <c r="D7" i="5"/>
  <c r="B7" i="5" s="1"/>
  <c r="D8" i="5"/>
  <c r="B8" i="5" s="1"/>
  <c r="C61" i="3"/>
  <c r="B30" i="8" l="1"/>
  <c r="B28" i="9"/>
  <c r="B27" i="9"/>
  <c r="B26" i="9"/>
  <c r="B25" i="9"/>
  <c r="B22" i="9"/>
  <c r="B33" i="9" s="1"/>
  <c r="B14" i="9"/>
  <c r="F84" i="6"/>
  <c r="E84" i="6"/>
  <c r="D84" i="6"/>
  <c r="C84" i="6"/>
  <c r="B84" i="6"/>
  <c r="J51" i="6"/>
  <c r="H51" i="6"/>
  <c r="F51" i="6"/>
  <c r="D51" i="6"/>
  <c r="B51" i="6"/>
  <c r="B21" i="16"/>
  <c r="B24" i="16"/>
  <c r="G17" i="1"/>
  <c r="D16" i="1"/>
  <c r="I14" i="15"/>
  <c r="H17" i="15"/>
  <c r="B43" i="2"/>
  <c r="B30" i="2"/>
  <c r="B25" i="6"/>
  <c r="D22" i="6"/>
  <c r="G55" i="6" s="1"/>
  <c r="K58" i="6"/>
  <c r="B61" i="3"/>
  <c r="D12" i="16"/>
  <c r="B12" i="16"/>
  <c r="C24" i="16"/>
  <c r="C25" i="16" s="1"/>
  <c r="C107" i="6"/>
  <c r="D107" i="6"/>
  <c r="B99" i="6"/>
  <c r="C99" i="6"/>
  <c r="C91" i="6"/>
  <c r="B91" i="6"/>
  <c r="G7" i="1"/>
  <c r="C60" i="8"/>
  <c r="C25" i="9"/>
  <c r="C28" i="9"/>
  <c r="C27" i="9"/>
  <c r="C26" i="9"/>
  <c r="C22" i="9"/>
  <c r="C33" i="9"/>
  <c r="C14" i="9"/>
  <c r="H58" i="6"/>
  <c r="H60" i="6" s="1"/>
  <c r="F58" i="6"/>
  <c r="F60" i="6" s="1"/>
  <c r="D58" i="6"/>
  <c r="D60" i="6"/>
  <c r="G20" i="6"/>
  <c r="I53" i="6" s="1"/>
  <c r="G24" i="6"/>
  <c r="G23" i="6"/>
  <c r="I56" i="6"/>
  <c r="G22" i="6"/>
  <c r="H22" i="6" s="1"/>
  <c r="I55" i="6"/>
  <c r="G21" i="6"/>
  <c r="I54" i="6"/>
  <c r="G14" i="6"/>
  <c r="G13" i="6"/>
  <c r="E56" i="6" s="1"/>
  <c r="G12" i="6"/>
  <c r="E55" i="6" s="1"/>
  <c r="G11" i="6"/>
  <c r="E54" i="6" s="1"/>
  <c r="G10" i="6"/>
  <c r="K53" i="6"/>
  <c r="F25" i="6"/>
  <c r="E25" i="6"/>
  <c r="D24" i="6"/>
  <c r="D23" i="6"/>
  <c r="G56" i="6" s="1"/>
  <c r="D21" i="6"/>
  <c r="G54" i="6" s="1"/>
  <c r="C25" i="6"/>
  <c r="C65" i="3"/>
  <c r="C49" i="3"/>
  <c r="C39" i="3"/>
  <c r="C21" i="3"/>
  <c r="C15" i="3"/>
  <c r="E20" i="12"/>
  <c r="D20" i="12"/>
  <c r="C20" i="12"/>
  <c r="C76" i="2"/>
  <c r="C17" i="2"/>
  <c r="C24" i="2"/>
  <c r="C30" i="2"/>
  <c r="C43" i="2"/>
  <c r="C50" i="2"/>
  <c r="E21" i="16"/>
  <c r="E24" i="16"/>
  <c r="E25" i="16" s="1"/>
  <c r="C21" i="16"/>
  <c r="C12" i="16"/>
  <c r="D21" i="16"/>
  <c r="E12" i="16"/>
  <c r="G27" i="1"/>
  <c r="G23" i="1"/>
  <c r="G22" i="1"/>
  <c r="G16" i="1"/>
  <c r="G15" i="1"/>
  <c r="G14" i="1"/>
  <c r="G13" i="1"/>
  <c r="G9" i="1"/>
  <c r="F11" i="1"/>
  <c r="F20" i="1"/>
  <c r="C11" i="1"/>
  <c r="C20" i="1"/>
  <c r="C25" i="1" s="1"/>
  <c r="I8" i="15"/>
  <c r="I9" i="15"/>
  <c r="B82" i="6"/>
  <c r="B73" i="6"/>
  <c r="D28" i="9"/>
  <c r="D27" i="9"/>
  <c r="D22" i="9"/>
  <c r="D29" i="9"/>
  <c r="D33" i="9"/>
  <c r="D14" i="9"/>
  <c r="D26" i="9"/>
  <c r="D99" i="6"/>
  <c r="D91" i="6"/>
  <c r="B58" i="6"/>
  <c r="B15" i="6"/>
  <c r="D14" i="6"/>
  <c r="D13" i="6"/>
  <c r="C56" i="6" s="1"/>
  <c r="D12" i="6"/>
  <c r="C55" i="6" s="1"/>
  <c r="D11" i="6"/>
  <c r="C54" i="6" s="1"/>
  <c r="D10" i="6"/>
  <c r="C53" i="6" s="1"/>
  <c r="H10" i="6"/>
  <c r="C30" i="15"/>
  <c r="D30" i="15"/>
  <c r="E30" i="15"/>
  <c r="F30" i="15"/>
  <c r="G30" i="15"/>
  <c r="H30" i="15"/>
  <c r="J30" i="15"/>
  <c r="B30" i="15"/>
  <c r="K23" i="15"/>
  <c r="D43" i="8"/>
  <c r="F12" i="16"/>
  <c r="C9" i="15"/>
  <c r="C17" i="15"/>
  <c r="D9" i="15"/>
  <c r="E9" i="15"/>
  <c r="F9" i="15"/>
  <c r="G9" i="15"/>
  <c r="H9" i="15"/>
  <c r="J9" i="15"/>
  <c r="J17" i="15"/>
  <c r="B9" i="15"/>
  <c r="B17" i="15"/>
  <c r="H25" i="9"/>
  <c r="H26" i="9"/>
  <c r="H27" i="9"/>
  <c r="H28" i="9"/>
  <c r="G25" i="9"/>
  <c r="G26" i="9"/>
  <c r="G27" i="9"/>
  <c r="G28" i="9"/>
  <c r="F15" i="6"/>
  <c r="B25" i="8"/>
  <c r="B38" i="8"/>
  <c r="B53" i="8"/>
  <c r="B75" i="8"/>
  <c r="B89" i="8"/>
  <c r="E91" i="6"/>
  <c r="E99" i="6"/>
  <c r="C83" i="2"/>
  <c r="B76" i="2"/>
  <c r="B63" i="2"/>
  <c r="C63" i="2"/>
  <c r="B50" i="2"/>
  <c r="B67" i="8"/>
  <c r="D79" i="8"/>
  <c r="D81" i="8"/>
  <c r="D75" i="8"/>
  <c r="D89" i="8"/>
  <c r="D67" i="8"/>
  <c r="D25" i="8"/>
  <c r="D53" i="8"/>
  <c r="B36" i="10"/>
  <c r="B32" i="10"/>
  <c r="B27" i="10"/>
  <c r="B18" i="10"/>
  <c r="B14" i="10"/>
  <c r="C36" i="10"/>
  <c r="C32" i="10"/>
  <c r="C27" i="10"/>
  <c r="C18" i="10"/>
  <c r="C14" i="10"/>
  <c r="F14" i="9"/>
  <c r="F22" i="9"/>
  <c r="F33" i="9"/>
  <c r="F25" i="9"/>
  <c r="F26" i="9"/>
  <c r="F27" i="9"/>
  <c r="F28" i="9"/>
  <c r="C82" i="6"/>
  <c r="C73" i="6"/>
  <c r="D82" i="6"/>
  <c r="D73" i="6"/>
  <c r="E15" i="6"/>
  <c r="B65" i="3"/>
  <c r="B49" i="3"/>
  <c r="B39" i="3"/>
  <c r="B21" i="3"/>
  <c r="B15" i="3"/>
  <c r="B27" i="3" s="1"/>
  <c r="B9" i="5" s="1"/>
  <c r="B20" i="12"/>
  <c r="I28" i="15"/>
  <c r="I30" i="15" s="1"/>
  <c r="K28" i="15"/>
  <c r="I27" i="15"/>
  <c r="K27" i="15"/>
  <c r="I21" i="15"/>
  <c r="B24" i="2"/>
  <c r="B17" i="2"/>
  <c r="D83" i="2"/>
  <c r="D43" i="2"/>
  <c r="E28" i="9"/>
  <c r="E27" i="9"/>
  <c r="E26" i="9"/>
  <c r="E25" i="9"/>
  <c r="E22" i="9"/>
  <c r="E29" i="9"/>
  <c r="E14" i="9"/>
  <c r="D27" i="10"/>
  <c r="F19" i="12"/>
  <c r="F20" i="12"/>
  <c r="B25" i="1"/>
  <c r="B29" i="1" s="1"/>
  <c r="B32" i="1" s="1"/>
  <c r="F21" i="16"/>
  <c r="I13" i="15"/>
  <c r="K13" i="15"/>
  <c r="D15" i="3"/>
  <c r="D27" i="3"/>
  <c r="D51" i="3"/>
  <c r="D56" i="3"/>
  <c r="D21" i="3"/>
  <c r="D39" i="3"/>
  <c r="D49" i="3"/>
  <c r="D61" i="3"/>
  <c r="D65" i="3"/>
  <c r="K11" i="15"/>
  <c r="D30" i="2"/>
  <c r="D24" i="2"/>
  <c r="D17" i="2"/>
  <c r="D63" i="2"/>
  <c r="D87" i="2" s="1"/>
  <c r="D76" i="2"/>
  <c r="D85" i="2" s="1"/>
  <c r="D50" i="2"/>
  <c r="B107" i="6"/>
  <c r="E107" i="6"/>
  <c r="D7" i="1"/>
  <c r="G22" i="9"/>
  <c r="G29" i="9"/>
  <c r="G33" i="9"/>
  <c r="G14" i="9"/>
  <c r="D27" i="1"/>
  <c r="D23" i="1"/>
  <c r="D22" i="1"/>
  <c r="D15" i="1"/>
  <c r="D14" i="1"/>
  <c r="D13" i="1"/>
  <c r="H11" i="1"/>
  <c r="H20" i="1"/>
  <c r="H25" i="1"/>
  <c r="H29" i="1"/>
  <c r="H32" i="1"/>
  <c r="D9" i="1"/>
  <c r="D30" i="6"/>
  <c r="D31" i="6"/>
  <c r="K54" i="6"/>
  <c r="D32" i="6"/>
  <c r="K55" i="6"/>
  <c r="D33" i="6"/>
  <c r="K56" i="6"/>
  <c r="D34" i="6"/>
  <c r="B35" i="6"/>
  <c r="C35" i="6"/>
  <c r="H22" i="9"/>
  <c r="H29" i="9"/>
  <c r="J58" i="6"/>
  <c r="J60" i="6"/>
  <c r="H14" i="9"/>
  <c r="D14" i="10"/>
  <c r="F107" i="6"/>
  <c r="F99" i="6"/>
  <c r="F91" i="6"/>
  <c r="C75" i="8"/>
  <c r="C89" i="8"/>
  <c r="C25" i="8"/>
  <c r="C38" i="8"/>
  <c r="C53" i="8"/>
  <c r="D36" i="10"/>
  <c r="D32" i="10"/>
  <c r="D18" i="10"/>
  <c r="D41" i="6"/>
  <c r="D42" i="6"/>
  <c r="D43" i="6"/>
  <c r="D46" i="6"/>
  <c r="D44" i="6"/>
  <c r="D45" i="6"/>
  <c r="B46" i="6"/>
  <c r="C46" i="6"/>
  <c r="E53" i="6"/>
  <c r="D32" i="2"/>
  <c r="D45" i="2" s="1"/>
  <c r="D35" i="6"/>
  <c r="F29" i="9"/>
  <c r="K21" i="15"/>
  <c r="K8" i="15"/>
  <c r="K9" i="15"/>
  <c r="D25" i="9"/>
  <c r="C15" i="6"/>
  <c r="K30" i="15"/>
  <c r="E33" i="9"/>
  <c r="D20" i="6"/>
  <c r="F28" i="16"/>
  <c r="C29" i="9"/>
  <c r="I15" i="15"/>
  <c r="K15" i="15" s="1"/>
  <c r="G11" i="1"/>
  <c r="F25" i="1"/>
  <c r="F29" i="1" s="1"/>
  <c r="D89" i="2" l="1"/>
  <c r="D66" i="2"/>
  <c r="C66" i="2"/>
  <c r="B51" i="3"/>
  <c r="B56" i="3" s="1"/>
  <c r="I17" i="15"/>
  <c r="K14" i="15"/>
  <c r="K17" i="15" s="1"/>
  <c r="B29" i="9"/>
  <c r="D15" i="6"/>
  <c r="C58" i="6" s="1"/>
  <c r="B66" i="2"/>
  <c r="D14" i="5"/>
  <c r="B85" i="2"/>
  <c r="B87" i="2" s="1"/>
  <c r="B32" i="2"/>
  <c r="B45" i="2" s="1"/>
  <c r="D11" i="1"/>
  <c r="G20" i="1"/>
  <c r="B60" i="6"/>
  <c r="H13" i="6"/>
  <c r="H12" i="6"/>
  <c r="H11" i="6"/>
  <c r="G15" i="6"/>
  <c r="H20" i="6"/>
  <c r="G25" i="6"/>
  <c r="I58" i="6" s="1"/>
  <c r="H23" i="6"/>
  <c r="H21" i="6"/>
  <c r="D25" i="6"/>
  <c r="G53" i="6"/>
  <c r="C27" i="3"/>
  <c r="C51" i="3" s="1"/>
  <c r="C56" i="3" s="1"/>
  <c r="C85" i="2"/>
  <c r="C87" i="2" s="1"/>
  <c r="C32" i="2"/>
  <c r="C45" i="2" s="1"/>
  <c r="G25" i="1"/>
  <c r="D20" i="1"/>
  <c r="D25" i="1"/>
  <c r="C29" i="1"/>
  <c r="B89" i="2" l="1"/>
  <c r="H15" i="6"/>
  <c r="E58" i="6"/>
  <c r="G58" i="6"/>
  <c r="H25" i="6"/>
  <c r="C89" i="2"/>
  <c r="G29" i="1"/>
  <c r="D29" i="1"/>
  <c r="C32" i="1"/>
</calcChain>
</file>

<file path=xl/sharedStrings.xml><?xml version="1.0" encoding="utf-8"?>
<sst xmlns="http://schemas.openxmlformats.org/spreadsheetml/2006/main" count="542" uniqueCount="305">
  <si>
    <t>%</t>
  </si>
  <si>
    <t xml:space="preserve">     </t>
  </si>
  <si>
    <t>Yhteensä</t>
  </si>
  <si>
    <t>1 000 €</t>
  </si>
  <si>
    <t xml:space="preserve">LASSILA &amp; TIKANOJA </t>
  </si>
  <si>
    <t xml:space="preserve">LASSILA &amp; TIKANOJA  </t>
  </si>
  <si>
    <t>Ympäristöpalvelut</t>
  </si>
  <si>
    <t>Luokittelun muutoksesta johtuvat oikaisut</t>
  </si>
  <si>
    <t>Ulkoinen</t>
  </si>
  <si>
    <t>Eliminoinnit</t>
  </si>
  <si>
    <t>Toimialojen välinen</t>
  </si>
  <si>
    <t>1-12/2009</t>
  </si>
  <si>
    <t>Uusiutuvat energialähteet</t>
  </si>
  <si>
    <t>Omien osakkeiden hankinta</t>
  </si>
  <si>
    <t>L&amp;T Biowatin pellettiliiketoiminnan lopetus</t>
  </si>
  <si>
    <t>Kiinteistönhoito</t>
  </si>
  <si>
    <t>Siivous- ja käyttäjäpalvelut</t>
  </si>
  <si>
    <t>Gearing, %</t>
  </si>
  <si>
    <t>Moskovan siivousliiketoiminnan lopetus</t>
  </si>
  <si>
    <t>1-3/2012</t>
  </si>
  <si>
    <t xml:space="preserve">   Myytävissä olevat lyhytaikaiset rahoitusvarat</t>
  </si>
  <si>
    <t>L&amp;T Biowatin arvonalentuminen</t>
  </si>
  <si>
    <t xml:space="preserve"> </t>
  </si>
  <si>
    <t>4-6/2012</t>
  </si>
  <si>
    <t>7-9/2012</t>
  </si>
  <si>
    <t>10-12/2012</t>
  </si>
  <si>
    <t>1-12/2012</t>
  </si>
  <si>
    <t>12/2012</t>
  </si>
  <si>
    <t>1-3/2013</t>
  </si>
  <si>
    <t xml:space="preserve">                                                                              </t>
  </si>
  <si>
    <t>4-6/2013</t>
  </si>
  <si>
    <t>7-9/2013</t>
  </si>
  <si>
    <t>1-9/2013</t>
  </si>
  <si>
    <t>1-9/2012</t>
  </si>
  <si>
    <t>9/2013</t>
  </si>
  <si>
    <t>9/2012</t>
  </si>
  <si>
    <t>Change %</t>
  </si>
  <si>
    <t>CONSOLIDATED INCOME STATEMENT</t>
  </si>
  <si>
    <t>EUR 1 000</t>
  </si>
  <si>
    <t>Net sales</t>
  </si>
  <si>
    <t>Cost of sales</t>
  </si>
  <si>
    <t>Gross profit</t>
  </si>
  <si>
    <t>Other operating income</t>
  </si>
  <si>
    <t>Selling and marketing costs</t>
  </si>
  <si>
    <t>Administrative expenses</t>
  </si>
  <si>
    <t>Other operating expenses</t>
  </si>
  <si>
    <t>Impairment, non-current assets</t>
  </si>
  <si>
    <t>Impairment, goodwill and other intangible assets</t>
  </si>
  <si>
    <t>Operating profit</t>
  </si>
  <si>
    <t>Finance income</t>
  </si>
  <si>
    <t>Finance costs</t>
  </si>
  <si>
    <t>Profit before tax</t>
  </si>
  <si>
    <t>Income tax expense</t>
  </si>
  <si>
    <t>Profit for the period</t>
  </si>
  <si>
    <t>Attributable to:</t>
  </si>
  <si>
    <t>Equity holders of the company</t>
  </si>
  <si>
    <t>Non-controlling interest</t>
  </si>
  <si>
    <t>Earnings per share for profit attributable to the equity holders of the company:</t>
  </si>
  <si>
    <t>Basic earnings per share, EUR</t>
  </si>
  <si>
    <t xml:space="preserve">Diluted earnings per share, EUR </t>
  </si>
  <si>
    <t>CONSOLIDATED STATEMENT OF COMPREHENSIVE INCOME</t>
  </si>
  <si>
    <t>Items arising from re-measurement of defined benefit plans</t>
  </si>
  <si>
    <t>Total</t>
  </si>
  <si>
    <t>Hedging reserve, change in fair value</t>
  </si>
  <si>
    <t>Revaluation reserve</t>
  </si>
  <si>
    <t>Gains in the period</t>
  </si>
  <si>
    <t>Currency translation differences</t>
  </si>
  <si>
    <t>Total comprehensive income, after tax</t>
  </si>
  <si>
    <t xml:space="preserve">Items not to be recognised through profit or loss     </t>
  </si>
  <si>
    <t>Items not to be recognised through profit or loss, total</t>
  </si>
  <si>
    <t>Items pontentially to be recognised through profit or loss</t>
  </si>
  <si>
    <t>Current available-for-sale financial assets</t>
  </si>
  <si>
    <t xml:space="preserve">Currency translation differences, non-controlling interest </t>
  </si>
  <si>
    <t>Items pontentially to be recognised through profit or loss, total</t>
  </si>
  <si>
    <t>CONSOLIDATED STATEMENT OF FINANCIAL POSITION</t>
  </si>
  <si>
    <t>ASSETS</t>
  </si>
  <si>
    <t>Non-current assets</t>
  </si>
  <si>
    <t>Intangible assets</t>
  </si>
  <si>
    <t>Goodwill</t>
  </si>
  <si>
    <t>Customer contracts arising from acquisitions</t>
  </si>
  <si>
    <t xml:space="preserve">Agreements on prohibition of competition </t>
  </si>
  <si>
    <t>Other intangible assets arising from business acquisitions</t>
  </si>
  <si>
    <t>Other intangible assets</t>
  </si>
  <si>
    <t>Property, plant and equipment</t>
  </si>
  <si>
    <t>Land</t>
  </si>
  <si>
    <t>Buildings and constructions</t>
  </si>
  <si>
    <t>Machinery and equipment</t>
  </si>
  <si>
    <t>Other</t>
  </si>
  <si>
    <t>Prepayments and construction 
in progress</t>
  </si>
  <si>
    <t>Other non-current assets</t>
  </si>
  <si>
    <t>Available-for-sale investments</t>
  </si>
  <si>
    <t>Finance lease receivables</t>
  </si>
  <si>
    <t>Deferred income tax assets</t>
  </si>
  <si>
    <t>Other receivables</t>
  </si>
  <si>
    <t>Total non-current assets</t>
  </si>
  <si>
    <t>Current assets</t>
  </si>
  <si>
    <t>Inventories</t>
  </si>
  <si>
    <t>Trade and other receivables</t>
  </si>
  <si>
    <t>Derivative receivables</t>
  </si>
  <si>
    <t>Prepayments</t>
  </si>
  <si>
    <t>Cash and cash equivalents</t>
  </si>
  <si>
    <t>Total current assets</t>
  </si>
  <si>
    <t>Total assets</t>
  </si>
  <si>
    <t>EQUITY AND LIABILITIES</t>
  </si>
  <si>
    <t>Equity</t>
  </si>
  <si>
    <t>Equity attributable to the equity holders of the company</t>
  </si>
  <si>
    <t>Share capital</t>
  </si>
  <si>
    <t>Share premium reserve</t>
  </si>
  <si>
    <t>Other reserves</t>
  </si>
  <si>
    <t>Unrestricted equity reserve</t>
  </si>
  <si>
    <t>Retained earnings</t>
  </si>
  <si>
    <t>Total equity</t>
  </si>
  <si>
    <t>Liabilities</t>
  </si>
  <si>
    <t>Non-current liabilities</t>
  </si>
  <si>
    <t>Deferred income tax liabilities</t>
  </si>
  <si>
    <t>Retirement benefit obligations</t>
  </si>
  <si>
    <t>Provisions</t>
  </si>
  <si>
    <t>Borrowings</t>
  </si>
  <si>
    <t>Other liabilities</t>
  </si>
  <si>
    <t>Current liabilities</t>
  </si>
  <si>
    <t>Trade and other payables</t>
  </si>
  <si>
    <t>Derivative liabilities</t>
  </si>
  <si>
    <t>Tax liabilities</t>
  </si>
  <si>
    <t>Total liabilities</t>
  </si>
  <si>
    <t>Total equity and liabilities</t>
  </si>
  <si>
    <t>CONSOLIDATED STATEMENT OF CHANGES IN EQUITY</t>
  </si>
  <si>
    <t>Hedging reserve</t>
  </si>
  <si>
    <t>Invested unrestricted equity reserve</t>
  </si>
  <si>
    <t>Equity attributable to equity holders of the company</t>
  </si>
  <si>
    <t>Equity at 1 January 2013</t>
  </si>
  <si>
    <t>Amendment in IAS19</t>
  </si>
  <si>
    <t>Expense recognition of share-based benefits</t>
  </si>
  <si>
    <t>Capital repayment</t>
  </si>
  <si>
    <t>Total comprehensive income</t>
  </si>
  <si>
    <t>Other differences</t>
  </si>
  <si>
    <t>Equity at 30 September 2013</t>
  </si>
  <si>
    <t>Equity at 30 September 2012</t>
  </si>
  <si>
    <t>BREAKDOWN OF OPERATING PROFIT EXCLUDING NON-RECURRING ITEMS</t>
  </si>
  <si>
    <t>EUR million</t>
  </si>
  <si>
    <t>Non-recurring items:</t>
  </si>
  <si>
    <t>Gain on sale of L&amp;T Biowatti Oy equipment</t>
  </si>
  <si>
    <t>Impairment of Ecostream Oy shares</t>
  </si>
  <si>
    <t>Gain on sale of holding in L&amp;T Recoil Oy</t>
  </si>
  <si>
    <t>Impairment of hazardous waste treatment facilities</t>
  </si>
  <si>
    <t>Gain on sale of eco product business</t>
  </si>
  <si>
    <t>Restructuring costs</t>
  </si>
  <si>
    <t>Operating profit excluding non-recurring items</t>
  </si>
  <si>
    <t xml:space="preserve">KEY FIGURES </t>
  </si>
  <si>
    <t>Earnings per share, EUR</t>
  </si>
  <si>
    <t>Earnings per share, diluted, EUR</t>
  </si>
  <si>
    <t>Cash flows from operating activities per share, EUR</t>
  </si>
  <si>
    <t>EVA, EUR million*</t>
  </si>
  <si>
    <t>Capital expenditure, EUR 1000</t>
  </si>
  <si>
    <t>Depreciation, amortisation and impairment, EUR 1000</t>
  </si>
  <si>
    <t>Equity per share, EUR</t>
  </si>
  <si>
    <t>Return on equity, ROE, %</t>
  </si>
  <si>
    <t>Return on invested capital, ROI, %</t>
  </si>
  <si>
    <t>Equity ratio, %</t>
  </si>
  <si>
    <t>Net interest-bearing liabilities, EUR 1000</t>
  </si>
  <si>
    <t>Average number of employees in full-time equivalents</t>
  </si>
  <si>
    <t>Total number of full-time and part-time employees at end of period</t>
  </si>
  <si>
    <t>Number of outstanding shares adjusted for issues, 1000 shares</t>
  </si>
  <si>
    <t xml:space="preserve">  average during the period</t>
  </si>
  <si>
    <t xml:space="preserve">  at end of period</t>
  </si>
  <si>
    <t xml:space="preserve">  average during the period, diluted</t>
  </si>
  <si>
    <t>*  EVA = operating profit - cost calculated on invested capital (average of four quarters) before taxes. WACC 2013: 6.5%, WACC 2012: 7.1%</t>
  </si>
  <si>
    <t>CONSOLIDATED STATEMENT OF CASH FLOWS</t>
  </si>
  <si>
    <t>Cash flows from operating activities</t>
  </si>
  <si>
    <t>Adjustments</t>
  </si>
  <si>
    <t>Depreciation, amortisation and impairment</t>
  </si>
  <si>
    <t>Finance income and costs</t>
  </si>
  <si>
    <t>Gain on sale of shares</t>
  </si>
  <si>
    <t>Net cash generated from operating activities before change 
in working capital</t>
  </si>
  <si>
    <t>Change in working capital</t>
  </si>
  <si>
    <t>Change in trade and other receivables</t>
  </si>
  <si>
    <t>Change in inventories</t>
  </si>
  <si>
    <t>Change in trade and other payables</t>
  </si>
  <si>
    <t>Interest paid</t>
  </si>
  <si>
    <t>Interest received</t>
  </si>
  <si>
    <t>Income tax paid</t>
  </si>
  <si>
    <t>Net cash from operating activities</t>
  </si>
  <si>
    <t>Cash flows from investing activities</t>
  </si>
  <si>
    <t>Acquisition of subsidiaries and businesses, net of cash acquired</t>
  </si>
  <si>
    <t>Proceeds from sale of Group companies and businesses, net of sold cash</t>
  </si>
  <si>
    <t>Purchases of property, plant and equipment and intangible assets</t>
  </si>
  <si>
    <t>Proceeds from sale of property, plant and equipment and intangible assets</t>
  </si>
  <si>
    <t>Purchases of available-for-sale investments</t>
  </si>
  <si>
    <t>Change in other non-current receivables</t>
  </si>
  <si>
    <t>Proceeds from sale of available-for-sale investments</t>
  </si>
  <si>
    <t>Dividends received</t>
  </si>
  <si>
    <t>Net cash used in investment activities</t>
  </si>
  <si>
    <t>Cash flows from financing activities</t>
  </si>
  <si>
    <t>Proceeds from issuance of shares</t>
  </si>
  <si>
    <t>Change in short-term borrowings</t>
  </si>
  <si>
    <t>Proceeds from long-term borrowings</t>
  </si>
  <si>
    <t>Repayments of long-term borrowings</t>
  </si>
  <si>
    <t>Dividends paid and other asset distribution</t>
  </si>
  <si>
    <t>Repurchase of own shares</t>
  </si>
  <si>
    <t>Net cash generated from financing activities</t>
  </si>
  <si>
    <t>Net change in liquid assets</t>
  </si>
  <si>
    <t>Liquid assets at beginning of period</t>
  </si>
  <si>
    <t>Effect of changes in foreign exchange rates</t>
  </si>
  <si>
    <t>Change in fair value of current available-for-sale investments</t>
  </si>
  <si>
    <t>Liquid assets at end of period</t>
  </si>
  <si>
    <t>Liquid assets</t>
  </si>
  <si>
    <t>Money market investments</t>
  </si>
  <si>
    <t>SEGMENT INFORMATION</t>
  </si>
  <si>
    <t>NET SALES</t>
  </si>
  <si>
    <t>External</t>
  </si>
  <si>
    <t>Inter-division</t>
  </si>
  <si>
    <t>Total net sales, change %</t>
  </si>
  <si>
    <t>Environmental Services</t>
  </si>
  <si>
    <t>Industrial Services</t>
  </si>
  <si>
    <t>Facility Services</t>
  </si>
  <si>
    <t>Renewable Energy Sources</t>
  </si>
  <si>
    <t>Eliminations</t>
  </si>
  <si>
    <t>L&amp;T total</t>
  </si>
  <si>
    <t>OPERATING PROFIT</t>
  </si>
  <si>
    <t>Group admin. and other</t>
  </si>
  <si>
    <t>Finance costs, net</t>
  </si>
  <si>
    <t>Assets</t>
  </si>
  <si>
    <t>Unallocated assets</t>
  </si>
  <si>
    <t>OTHER SEGMENT INFORMATION</t>
  </si>
  <si>
    <t>Unallocated liabilities</t>
  </si>
  <si>
    <t>Capital expenditure</t>
  </si>
  <si>
    <t>Depreciation and amortisation</t>
  </si>
  <si>
    <t>Impairment</t>
  </si>
  <si>
    <t>INCOME STATEMENT BY QUARTER</t>
  </si>
  <si>
    <t>Inter-division net sales</t>
  </si>
  <si>
    <t>Operating margin</t>
  </si>
  <si>
    <t>CHANGES IN INTANGIBLE ASSETS</t>
  </si>
  <si>
    <t>Carrying amount at beginning of period</t>
  </si>
  <si>
    <t>Business acquisitions</t>
  </si>
  <si>
    <t>Other capital expenditure</t>
  </si>
  <si>
    <t>Disposals</t>
  </si>
  <si>
    <t>Amortisation and impairment</t>
  </si>
  <si>
    <t>Transfers between items</t>
  </si>
  <si>
    <t>Exchange differences</t>
  </si>
  <si>
    <t>Carrying amount at end of period</t>
  </si>
  <si>
    <t>CHANGES IN PROPERTY, PLANT AND EQUIPMENT</t>
  </si>
  <si>
    <t>Depreciation and impairment</t>
  </si>
  <si>
    <t>CAPITAL COMMITMENTS</t>
  </si>
  <si>
    <t>The Group’s share of capital commitments of joint ventures</t>
  </si>
  <si>
    <t>RELATED-PARTY TRANSACTIONS</t>
  </si>
  <si>
    <t>(joint ventures)</t>
  </si>
  <si>
    <t>Sales</t>
  </si>
  <si>
    <t>Purchases</t>
  </si>
  <si>
    <t>Interest income</t>
  </si>
  <si>
    <t>Non-current receivables</t>
  </si>
  <si>
    <t>Capital loan receivable</t>
  </si>
  <si>
    <t>Current receivables</t>
  </si>
  <si>
    <t>Trade receivables</t>
  </si>
  <si>
    <t>Loan receivables</t>
  </si>
  <si>
    <t>FINANCIAL ASSETS AND LIABILITIES BY CATEGORY</t>
  </si>
  <si>
    <t>Financial assets and liabilities at fair value through profit or loss</t>
  </si>
  <si>
    <t>Loans and other receivables</t>
  </si>
  <si>
    <t>Available-for-sale financial assets</t>
  </si>
  <si>
    <t>Financial liabilities measured at amortised cost</t>
  </si>
  <si>
    <t>Derivatives under hedge accounting</t>
  </si>
  <si>
    <t>Carrying amounts by balance sheet item</t>
  </si>
  <si>
    <t>Fair values by balance sheet item</t>
  </si>
  <si>
    <t>Fair value hierarchy level under IFRS 7</t>
  </si>
  <si>
    <t>Non-current financial assets</t>
  </si>
  <si>
    <t>Current financial assets</t>
  </si>
  <si>
    <t>Total financial assets</t>
  </si>
  <si>
    <t>Non-current financial liabilities</t>
  </si>
  <si>
    <t>Current financial liabilities</t>
  </si>
  <si>
    <t>Total financial liabilities</t>
  </si>
  <si>
    <t>CONTINGENT LIABILITIES</t>
  </si>
  <si>
    <t>Securities for own commitments</t>
  </si>
  <si>
    <t>Mortgages on rights of tenancy</t>
  </si>
  <si>
    <t>Company mortgages</t>
  </si>
  <si>
    <t>Other securities</t>
  </si>
  <si>
    <t>Bank guarantees required for environmental permits</t>
  </si>
  <si>
    <t>Other securities are security deposits.</t>
  </si>
  <si>
    <t>External liabilities</t>
  </si>
  <si>
    <t>Lassila &amp; Tikanoja plc has given a guarantee for a share of 50 percent of L&amp;T Recoil Oy's financial liabilities.</t>
  </si>
  <si>
    <t>The guarantee is valid no later than the maturity date of the liabilities on 31 August 2014.</t>
  </si>
  <si>
    <t>The financial liabilities of L&amp;T Recoil totalled EUR 32.8 million on 30 September 2012.</t>
  </si>
  <si>
    <t>Operating lease liabilities</t>
  </si>
  <si>
    <t>Maturity not later than one year</t>
  </si>
  <si>
    <t>Maturity later than one year and not later than five years</t>
  </si>
  <si>
    <t>Maturity later than five years</t>
  </si>
  <si>
    <t>Liabilities associated with derivative agreements</t>
  </si>
  <si>
    <t>Cross currency interest rate swaps</t>
  </si>
  <si>
    <t>Maturity of cross currency interest rate swaps under hedge accounting</t>
  </si>
  <si>
    <t xml:space="preserve">Maturity not later than one year </t>
  </si>
  <si>
    <t>Fair value, EUR 1 000</t>
  </si>
  <si>
    <t>The contracts are used to hedge cash flow related to foreign currency floating rate loans. The changes in the fair values are shown in the consolidated statement of comprehensive income for the period. On the balance sheet date, the value of foreign currency loans was EUR 0.7 million negative.</t>
  </si>
  <si>
    <t>Interest rate swaps</t>
  </si>
  <si>
    <t>Nominal values of interest rate and currency swaps*</t>
  </si>
  <si>
    <t xml:space="preserve">Maturity later than one year and not later than five years </t>
  </si>
  <si>
    <t>Fair value</t>
  </si>
  <si>
    <t>Nominal value of interest rate swaps**</t>
  </si>
  <si>
    <t>* The interest rate swaps are used to hedge cash flow related to a floating rate loan, and hedge accounting under IAS 39 has been applied to it. The hedges have been effective, and the changes in the fair values are shown in the consolidated statement of comprehensive income for the period. The fair values of the swap contracts are based on the market data at the balance sheet date.</t>
  </si>
  <si>
    <t>** Hedge accounting under IAS 39 has not been applied to these interest rate swaps. Changes in fair values have been recognised in finance income and costs.</t>
  </si>
  <si>
    <t>Commodity derivatives</t>
  </si>
  <si>
    <t>metric tons</t>
  </si>
  <si>
    <t>Nominal values of diesel swaps</t>
  </si>
  <si>
    <t>Fair value, EUR 1000</t>
  </si>
  <si>
    <t>Commodity derivative contracts were concluded, for hedging of future diesel oil purchases. IAS 39 –compliant hedge accounting will be applied to these contracts, and the effective change in fair value will be recognised in the hedging reserve within equity. The fair values of commodity derivatives are based on market prices at the balance sheet date.</t>
  </si>
  <si>
    <t>Currency derivatives</t>
  </si>
  <si>
    <t>Nominal values of forward contracts</t>
  </si>
  <si>
    <t>Hedge accounting under IAS 39 has not been applied to currency derivatives. Changes in fair values have been recognised in finance income and costs.</t>
  </si>
  <si>
    <t>Changes in fair values have been recognised in finance income and costs.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</si>
</sst>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165" formatCode="#,##0\ &quot;mk&quot;;[Red]\-#,##0\ &quot;mk&quot;"/>
    <numFmt numFmtId="166" formatCode="#,##0.00\ &quot;mk&quot;;[Red]\-#,##0.00\ &quot;mk&quot;"/>
    <numFmt numFmtId="167" formatCode="#,##0.0"/>
    <numFmt numFmtId="168" formatCode="#,##0.000"/>
    <numFmt numFmtId="169" formatCode="0.0"/>
    <numFmt numFmtId="170" formatCode="#,##0.0000"/>
    <numFmt numFmtId="171" formatCode="#,##0_ ;[Red]\-#,##0\ "/>
    <numFmt numFmtId="172" formatCode="#,##0.00_ ;[Red]\-#,##0.00\ "/>
  </numFmts>
  <fonts count="35" x14ac:knownFonts="1">
    <font>
      <sz val="10"/>
      <name val="MS Sans Serif"/>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MS Sans Serif"/>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9"/>
      <name val="Arial"/>
      <family val="2"/>
    </font>
    <font>
      <sz val="10"/>
      <name val="MS Sans Serif"/>
      <family val="2"/>
    </font>
    <font>
      <sz val="8.5"/>
      <name val="MS Sans Serif"/>
      <family val="2"/>
    </font>
    <font>
      <sz val="10"/>
      <name val="Times New Roman"/>
      <family val="1"/>
    </font>
    <font>
      <b/>
      <sz val="9"/>
      <name val="Arial"/>
      <family val="2"/>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s>
  <borders count="1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s>
  <cellStyleXfs count="69">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2" fillId="12"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9" borderId="0" applyNumberFormat="0" applyBorder="0" applyAlignment="0" applyProtection="0"/>
    <xf numFmtId="0" fontId="13" fillId="3" borderId="0" applyNumberFormat="0" applyBorder="0" applyAlignment="0" applyProtection="0"/>
    <xf numFmtId="0" fontId="14" fillId="20" borderId="1" applyNumberFormat="0" applyAlignment="0" applyProtection="0"/>
    <xf numFmtId="0" fontId="15" fillId="21" borderId="2" applyNumberFormat="0" applyAlignment="0" applyProtection="0"/>
    <xf numFmtId="171" fontId="1" fillId="0" borderId="0" applyFont="0" applyFill="0" applyBorder="0" applyAlignment="0" applyProtection="0"/>
    <xf numFmtId="172"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23" fillId="0" borderId="7" applyNumberFormat="0" applyFill="0" applyAlignment="0" applyProtection="0"/>
    <xf numFmtId="0" fontId="24" fillId="23" borderId="0" applyNumberFormat="0" applyBorder="0" applyAlignment="0" applyProtection="0"/>
    <xf numFmtId="0" fontId="16" fillId="0" borderId="0"/>
    <xf numFmtId="0" fontId="1" fillId="0" borderId="0"/>
    <xf numFmtId="0" fontId="31" fillId="0" borderId="0"/>
    <xf numFmtId="0" fontId="1" fillId="0" borderId="0"/>
    <xf numFmtId="0" fontId="16" fillId="0" borderId="0"/>
    <xf numFmtId="0" fontId="1" fillId="0" borderId="0"/>
    <xf numFmtId="0" fontId="1" fillId="0" borderId="0"/>
    <xf numFmtId="0" fontId="16" fillId="0" borderId="0"/>
    <xf numFmtId="0" fontId="10" fillId="0" borderId="0"/>
    <xf numFmtId="0" fontId="10" fillId="0" borderId="0"/>
    <xf numFmtId="0" fontId="1" fillId="0" borderId="0"/>
    <xf numFmtId="0" fontId="8" fillId="0" borderId="0"/>
    <xf numFmtId="0" fontId="1" fillId="0" borderId="0"/>
    <xf numFmtId="0" fontId="8" fillId="0" borderId="0"/>
    <xf numFmtId="0" fontId="1" fillId="0" borderId="0"/>
    <xf numFmtId="0" fontId="2" fillId="0" borderId="0"/>
    <xf numFmtId="0" fontId="1" fillId="0" borderId="0"/>
    <xf numFmtId="0" fontId="16" fillId="0" borderId="0"/>
    <xf numFmtId="0" fontId="8" fillId="0" borderId="0"/>
    <xf numFmtId="0" fontId="1" fillId="0" borderId="0"/>
    <xf numFmtId="0" fontId="16" fillId="22" borderId="6" applyNumberFormat="0" applyFont="0" applyAlignment="0" applyProtection="0"/>
    <xf numFmtId="0" fontId="1" fillId="22" borderId="6" applyNumberFormat="0" applyFont="0" applyAlignment="0" applyProtection="0"/>
    <xf numFmtId="0" fontId="25" fillId="20"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xf numFmtId="0" fontId="5" fillId="0" borderId="0"/>
  </cellStyleXfs>
  <cellXfs count="439">
    <xf numFmtId="0" fontId="0" fillId="0" borderId="0" xfId="0"/>
    <xf numFmtId="0" fontId="4" fillId="0" borderId="0" xfId="44" applyFont="1"/>
    <xf numFmtId="0" fontId="5" fillId="0" borderId="0" xfId="44" applyFont="1"/>
    <xf numFmtId="0" fontId="6" fillId="0" borderId="0" xfId="44" applyFont="1"/>
    <xf numFmtId="0" fontId="7" fillId="0" borderId="0" xfId="44" applyFont="1"/>
    <xf numFmtId="3" fontId="5" fillId="0" borderId="0" xfId="44" applyNumberFormat="1" applyFont="1"/>
    <xf numFmtId="0" fontId="5" fillId="0" borderId="0" xfId="44" applyFont="1" applyAlignment="1">
      <alignment horizontal="left"/>
    </xf>
    <xf numFmtId="0" fontId="5" fillId="0" borderId="0" xfId="44" applyFont="1" applyBorder="1" applyAlignment="1">
      <alignment horizontal="left"/>
    </xf>
    <xf numFmtId="0" fontId="7" fillId="0" borderId="0" xfId="44" applyFont="1" applyBorder="1" applyAlignment="1">
      <alignment horizontal="left"/>
    </xf>
    <xf numFmtId="0" fontId="7" fillId="0" borderId="0" xfId="44" applyFont="1" applyAlignment="1">
      <alignment horizontal="left"/>
    </xf>
    <xf numFmtId="0" fontId="5" fillId="0" borderId="0" xfId="44" quotePrefix="1" applyFont="1" applyBorder="1" applyAlignment="1">
      <alignment horizontal="left"/>
    </xf>
    <xf numFmtId="0" fontId="5" fillId="0" borderId="0" xfId="44" applyFont="1" applyBorder="1" applyAlignment="1">
      <alignment horizontal="left" indent="1"/>
    </xf>
    <xf numFmtId="0" fontId="5" fillId="0" borderId="0" xfId="44" applyFont="1" applyBorder="1"/>
    <xf numFmtId="0" fontId="4" fillId="0" borderId="0" xfId="56" applyFont="1" applyBorder="1"/>
    <xf numFmtId="0" fontId="7" fillId="0" borderId="0" xfId="52" applyFont="1"/>
    <xf numFmtId="0" fontId="5" fillId="0" borderId="0" xfId="52" applyFont="1"/>
    <xf numFmtId="0" fontId="5" fillId="0" borderId="0" xfId="52" applyFont="1" applyAlignment="1">
      <alignment horizontal="left" indent="1"/>
    </xf>
    <xf numFmtId="0" fontId="5" fillId="0" borderId="0" xfId="52" applyFont="1" applyBorder="1"/>
    <xf numFmtId="0" fontId="7" fillId="0" borderId="0" xfId="52" applyFont="1" applyBorder="1"/>
    <xf numFmtId="0" fontId="5" fillId="0" borderId="0" xfId="57" applyFont="1" applyAlignment="1">
      <alignment horizontal="left"/>
    </xf>
    <xf numFmtId="0" fontId="5" fillId="0" borderId="0" xfId="57" applyFont="1"/>
    <xf numFmtId="0" fontId="7" fillId="0" borderId="0" xfId="57" applyFont="1" applyBorder="1"/>
    <xf numFmtId="0" fontId="5" fillId="0" borderId="0" xfId="57" applyFont="1" applyBorder="1"/>
    <xf numFmtId="0" fontId="5" fillId="0" borderId="0" xfId="51" applyFont="1" applyAlignment="1">
      <alignment horizontal="left"/>
    </xf>
    <xf numFmtId="0" fontId="5" fillId="0" borderId="0" xfId="53" applyFont="1"/>
    <xf numFmtId="0" fontId="7" fillId="0" borderId="0" xfId="53" applyFont="1"/>
    <xf numFmtId="0" fontId="7" fillId="0" borderId="0" xfId="51" applyFont="1"/>
    <xf numFmtId="0" fontId="5" fillId="0" borderId="0" xfId="51" applyFont="1"/>
    <xf numFmtId="0" fontId="5" fillId="0" borderId="0" xfId="51" applyFont="1" applyBorder="1"/>
    <xf numFmtId="0" fontId="5" fillId="0" borderId="10" xfId="51" quotePrefix="1" applyFont="1" applyBorder="1" applyAlignment="1">
      <alignment horizontal="left"/>
    </xf>
    <xf numFmtId="0" fontId="5" fillId="0" borderId="0" xfId="55" applyFont="1"/>
    <xf numFmtId="3" fontId="5" fillId="0" borderId="0" xfId="51" applyNumberFormat="1" applyFont="1"/>
    <xf numFmtId="167" fontId="5" fillId="0" borderId="0" xfId="51" applyNumberFormat="1" applyFont="1" applyAlignment="1">
      <alignment horizontal="right"/>
    </xf>
    <xf numFmtId="0" fontId="5" fillId="0" borderId="10" xfId="55" applyFont="1" applyBorder="1"/>
    <xf numFmtId="0" fontId="7" fillId="0" borderId="0" xfId="51" applyFont="1" applyBorder="1" applyAlignment="1">
      <alignment horizontal="right"/>
    </xf>
    <xf numFmtId="167" fontId="5" fillId="0" borderId="0" xfId="51" applyNumberFormat="1" applyFont="1"/>
    <xf numFmtId="3" fontId="5" fillId="0" borderId="0" xfId="53" applyNumberFormat="1" applyFont="1" applyAlignment="1">
      <alignment horizontal="right"/>
    </xf>
    <xf numFmtId="3" fontId="5" fillId="0" borderId="0" xfId="53" applyNumberFormat="1" applyFont="1"/>
    <xf numFmtId="0" fontId="5" fillId="0" borderId="0" xfId="53" applyFont="1" applyBorder="1"/>
    <xf numFmtId="3" fontId="5" fillId="0" borderId="0" xfId="53" applyNumberFormat="1" applyFont="1" applyBorder="1"/>
    <xf numFmtId="0" fontId="5" fillId="0" borderId="10" xfId="53" applyFont="1" applyBorder="1"/>
    <xf numFmtId="0" fontId="7" fillId="0" borderId="0" xfId="53" quotePrefix="1" applyFont="1" applyBorder="1" applyAlignment="1">
      <alignment horizontal="right"/>
    </xf>
    <xf numFmtId="168" fontId="5" fillId="0" borderId="0" xfId="53" applyNumberFormat="1" applyFont="1"/>
    <xf numFmtId="170" fontId="5" fillId="0" borderId="0" xfId="53" applyNumberFormat="1" applyFont="1"/>
    <xf numFmtId="167" fontId="5" fillId="0" borderId="0" xfId="51" applyNumberFormat="1" applyFont="1" applyBorder="1"/>
    <xf numFmtId="3" fontId="5" fillId="0" borderId="0" xfId="51" applyNumberFormat="1" applyFont="1" applyFill="1"/>
    <xf numFmtId="3" fontId="5" fillId="0" borderId="10" xfId="51" applyNumberFormat="1" applyFont="1" applyFill="1" applyBorder="1"/>
    <xf numFmtId="0" fontId="5" fillId="0" borderId="0" xfId="44" applyFont="1" applyBorder="1" applyAlignment="1">
      <alignment horizontal="left" vertical="center"/>
    </xf>
    <xf numFmtId="0" fontId="7" fillId="0" borderId="0" xfId="59" applyFont="1"/>
    <xf numFmtId="0" fontId="4" fillId="0" borderId="0" xfId="57" applyFont="1" applyBorder="1"/>
    <xf numFmtId="0" fontId="4" fillId="0" borderId="0" xfId="53" applyFont="1"/>
    <xf numFmtId="3" fontId="5" fillId="0" borderId="0" xfId="47" applyNumberFormat="1" applyFont="1" applyBorder="1" applyAlignment="1" applyProtection="1">
      <alignment horizontal="right"/>
    </xf>
    <xf numFmtId="3" fontId="7" fillId="0" borderId="0" xfId="47" applyNumberFormat="1" applyFont="1" applyBorder="1" applyAlignment="1" applyProtection="1">
      <alignment horizontal="right"/>
    </xf>
    <xf numFmtId="0" fontId="5" fillId="0" borderId="0" xfId="47" applyFont="1" applyBorder="1"/>
    <xf numFmtId="3" fontId="7" fillId="0" borderId="0" xfId="47" applyNumberFormat="1" applyFont="1" applyBorder="1"/>
    <xf numFmtId="2" fontId="5" fillId="0" borderId="0" xfId="47" applyNumberFormat="1" applyFont="1" applyBorder="1"/>
    <xf numFmtId="0" fontId="5" fillId="0" borderId="0" xfId="47" applyFont="1" applyBorder="1" applyAlignment="1" applyProtection="1">
      <alignment horizontal="left"/>
    </xf>
    <xf numFmtId="0" fontId="7" fillId="0" borderId="0" xfId="47" applyFont="1" applyBorder="1" applyAlignment="1" applyProtection="1">
      <alignment horizontal="left"/>
    </xf>
    <xf numFmtId="0" fontId="7" fillId="0" borderId="0" xfId="47" applyFont="1" applyBorder="1"/>
    <xf numFmtId="0" fontId="7" fillId="0" borderId="0" xfId="44" applyFont="1" applyBorder="1" applyAlignment="1">
      <alignment wrapText="1"/>
    </xf>
    <xf numFmtId="3" fontId="5" fillId="0" borderId="0" xfId="44" applyNumberFormat="1" applyFont="1" applyFill="1"/>
    <xf numFmtId="3" fontId="5" fillId="0" borderId="10" xfId="44" applyNumberFormat="1" applyFont="1" applyFill="1" applyBorder="1"/>
    <xf numFmtId="3" fontId="5" fillId="0" borderId="0" xfId="44" applyNumberFormat="1" applyFont="1" applyFill="1" applyBorder="1"/>
    <xf numFmtId="0" fontId="5" fillId="0" borderId="0" xfId="44" applyFont="1" applyFill="1"/>
    <xf numFmtId="3" fontId="5" fillId="0" borderId="12" xfId="44" applyNumberFormat="1" applyFont="1" applyFill="1" applyBorder="1"/>
    <xf numFmtId="0" fontId="5" fillId="0" borderId="0" xfId="44" applyFont="1" applyFill="1" applyBorder="1"/>
    <xf numFmtId="14" fontId="7" fillId="0" borderId="10" xfId="46" quotePrefix="1" applyNumberFormat="1" applyFont="1" applyFill="1" applyBorder="1" applyAlignment="1">
      <alignment horizontal="right"/>
    </xf>
    <xf numFmtId="3" fontId="5" fillId="0" borderId="11" xfId="44" applyNumberFormat="1" applyFont="1" applyFill="1" applyBorder="1"/>
    <xf numFmtId="0" fontId="5" fillId="0" borderId="0" xfId="57" applyFont="1" applyFill="1"/>
    <xf numFmtId="3" fontId="5" fillId="0" borderId="0" xfId="57" applyNumberFormat="1" applyFont="1" applyFill="1" applyAlignment="1">
      <alignment horizontal="right"/>
    </xf>
    <xf numFmtId="4" fontId="7" fillId="0" borderId="0" xfId="52" applyNumberFormat="1" applyFont="1" applyFill="1" applyBorder="1" applyAlignment="1">
      <alignment horizontal="center"/>
    </xf>
    <xf numFmtId="0" fontId="7" fillId="0" borderId="0" xfId="44" applyFont="1" applyFill="1"/>
    <xf numFmtId="0" fontId="5" fillId="0" borderId="0" xfId="47" quotePrefix="1" applyFont="1" applyFill="1" applyBorder="1" applyAlignment="1" applyProtection="1">
      <alignment horizontal="left"/>
    </xf>
    <xf numFmtId="14" fontId="7" fillId="0" borderId="0" xfId="47" quotePrefix="1" applyNumberFormat="1" applyFont="1" applyFill="1" applyBorder="1" applyAlignment="1" applyProtection="1">
      <alignment horizontal="right"/>
    </xf>
    <xf numFmtId="0" fontId="5" fillId="0" borderId="0" xfId="47" applyFont="1" applyFill="1" applyBorder="1"/>
    <xf numFmtId="0" fontId="7" fillId="0" borderId="0" xfId="47" quotePrefix="1" applyFont="1" applyFill="1" applyBorder="1" applyAlignment="1" applyProtection="1">
      <alignment horizontal="right"/>
    </xf>
    <xf numFmtId="0" fontId="5" fillId="0" borderId="10" xfId="44" applyFont="1" applyFill="1" applyBorder="1" applyAlignment="1">
      <alignment horizontal="left"/>
    </xf>
    <xf numFmtId="0" fontId="7" fillId="0" borderId="0" xfId="47" applyFont="1" applyFill="1" applyBorder="1" applyAlignment="1" applyProtection="1">
      <alignment horizontal="left"/>
    </xf>
    <xf numFmtId="3" fontId="7" fillId="0" borderId="0" xfId="47" applyNumberFormat="1" applyFont="1" applyFill="1" applyBorder="1" applyAlignment="1" applyProtection="1">
      <alignment horizontal="right"/>
    </xf>
    <xf numFmtId="0" fontId="5" fillId="0" borderId="0" xfId="47" applyFont="1" applyFill="1" applyBorder="1" applyAlignment="1" applyProtection="1">
      <alignment horizontal="left"/>
    </xf>
    <xf numFmtId="3" fontId="5" fillId="0" borderId="0" xfId="47" applyNumberFormat="1" applyFont="1" applyFill="1" applyBorder="1" applyAlignment="1" applyProtection="1">
      <alignment horizontal="right"/>
    </xf>
    <xf numFmtId="0" fontId="5" fillId="0" borderId="0" xfId="44" applyFont="1" applyFill="1" applyAlignment="1">
      <alignment horizontal="left"/>
    </xf>
    <xf numFmtId="0" fontId="5" fillId="0" borderId="0" xfId="44" applyFont="1" applyFill="1" applyBorder="1" applyAlignment="1">
      <alignment horizontal="left"/>
    </xf>
    <xf numFmtId="0" fontId="7" fillId="0" borderId="0" xfId="44" applyFont="1" applyFill="1" applyBorder="1" applyAlignment="1">
      <alignment horizontal="left"/>
    </xf>
    <xf numFmtId="0" fontId="7" fillId="0" borderId="10" xfId="51" quotePrefix="1" applyFont="1" applyFill="1" applyBorder="1" applyAlignment="1">
      <alignment horizontal="right"/>
    </xf>
    <xf numFmtId="0" fontId="5" fillId="0" borderId="0" xfId="51" applyFont="1" applyFill="1"/>
    <xf numFmtId="0" fontId="7" fillId="0" borderId="10" xfId="51" applyFont="1" applyFill="1" applyBorder="1" applyAlignment="1">
      <alignment horizontal="right"/>
    </xf>
    <xf numFmtId="169" fontId="5" fillId="0" borderId="0" xfId="51" applyNumberFormat="1" applyFont="1" applyFill="1"/>
    <xf numFmtId="169" fontId="5" fillId="0" borderId="10" xfId="51" applyNumberFormat="1" applyFont="1" applyFill="1" applyBorder="1"/>
    <xf numFmtId="0" fontId="7" fillId="0" borderId="0" xfId="53" quotePrefix="1" applyFont="1" applyBorder="1" applyAlignment="1">
      <alignment horizontal="left"/>
    </xf>
    <xf numFmtId="0" fontId="7" fillId="0" borderId="0" xfId="53" applyFont="1" applyBorder="1"/>
    <xf numFmtId="0" fontId="7" fillId="0" borderId="0" xfId="57" applyFont="1" applyFill="1" applyBorder="1"/>
    <xf numFmtId="169" fontId="5" fillId="0" borderId="0" xfId="55" applyNumberFormat="1" applyFont="1" applyFill="1" applyAlignment="1">
      <alignment horizontal="right"/>
    </xf>
    <xf numFmtId="3" fontId="5" fillId="0" borderId="0" xfId="53" quotePrefix="1" applyNumberFormat="1" applyFont="1" applyFill="1" applyAlignment="1">
      <alignment horizontal="right"/>
    </xf>
    <xf numFmtId="3" fontId="5" fillId="0" borderId="0" xfId="53" applyNumberFormat="1" applyFont="1" applyFill="1"/>
    <xf numFmtId="3" fontId="5" fillId="0" borderId="0" xfId="53" applyNumberFormat="1" applyFont="1" applyFill="1" applyBorder="1"/>
    <xf numFmtId="3" fontId="5" fillId="0" borderId="10" xfId="53" applyNumberFormat="1" applyFont="1" applyFill="1" applyBorder="1"/>
    <xf numFmtId="0" fontId="5" fillId="0" borderId="0" xfId="53" applyFont="1" applyFill="1" applyBorder="1"/>
    <xf numFmtId="0" fontId="5" fillId="0" borderId="0" xfId="53" applyFont="1" applyFill="1"/>
    <xf numFmtId="169" fontId="5" fillId="0" borderId="0" xfId="53" applyNumberFormat="1" applyFont="1" applyFill="1"/>
    <xf numFmtId="0" fontId="7" fillId="0" borderId="0" xfId="0" applyFont="1"/>
    <xf numFmtId="0" fontId="5" fillId="0" borderId="0" xfId="0" applyFont="1"/>
    <xf numFmtId="0" fontId="5" fillId="0" borderId="0" xfId="0" applyFont="1" applyBorder="1"/>
    <xf numFmtId="3" fontId="5" fillId="0" borderId="0" xfId="51" applyNumberFormat="1" applyFont="1" applyFill="1" applyBorder="1"/>
    <xf numFmtId="0" fontId="5" fillId="0" borderId="0" xfId="51" applyFont="1" applyFill="1" applyBorder="1"/>
    <xf numFmtId="3" fontId="7" fillId="0" borderId="0" xfId="53" applyNumberFormat="1" applyFont="1" applyBorder="1"/>
    <xf numFmtId="0" fontId="5" fillId="0" borderId="0" xfId="0" quotePrefix="1" applyFont="1" applyBorder="1" applyAlignment="1">
      <alignment horizontal="center"/>
    </xf>
    <xf numFmtId="0" fontId="5" fillId="0" borderId="0" xfId="0" applyFont="1" applyBorder="1" applyAlignment="1">
      <alignment horizontal="right"/>
    </xf>
    <xf numFmtId="3" fontId="7" fillId="0" borderId="0" xfId="44" applyNumberFormat="1" applyFont="1" applyFill="1" applyBorder="1"/>
    <xf numFmtId="2" fontId="5" fillId="0" borderId="0" xfId="57" applyNumberFormat="1" applyFont="1" applyFill="1" applyAlignment="1">
      <alignment horizontal="right"/>
    </xf>
    <xf numFmtId="3" fontId="5" fillId="0" borderId="0" xfId="54" applyNumberFormat="1" applyFont="1" applyFill="1"/>
    <xf numFmtId="0" fontId="5" fillId="0" borderId="0" xfId="54" quotePrefix="1" applyFont="1" applyFill="1" applyBorder="1" applyAlignment="1">
      <alignment horizontal="right"/>
    </xf>
    <xf numFmtId="0" fontId="5" fillId="0" borderId="0" xfId="51" applyFont="1" applyFill="1" applyAlignment="1">
      <alignment horizontal="right"/>
    </xf>
    <xf numFmtId="169" fontId="5" fillId="0" borderId="0" xfId="51" applyNumberFormat="1" applyFont="1" applyFill="1" applyAlignment="1">
      <alignment horizontal="right"/>
    </xf>
    <xf numFmtId="0" fontId="7" fillId="0" borderId="0" xfId="51" quotePrefix="1" applyFont="1" applyFill="1" applyBorder="1" applyAlignment="1">
      <alignment horizontal="right"/>
    </xf>
    <xf numFmtId="0" fontId="7" fillId="0" borderId="10" xfId="47" quotePrefix="1" applyFont="1" applyFill="1" applyBorder="1" applyAlignment="1" applyProtection="1">
      <alignment horizontal="right"/>
    </xf>
    <xf numFmtId="3" fontId="5" fillId="0" borderId="0" xfId="44" applyNumberFormat="1" applyFont="1" applyFill="1" applyAlignment="1">
      <alignment horizontal="right"/>
    </xf>
    <xf numFmtId="3" fontId="5" fillId="0" borderId="10" xfId="44" applyNumberFormat="1" applyFont="1" applyFill="1" applyBorder="1" applyAlignment="1">
      <alignment horizontal="right"/>
    </xf>
    <xf numFmtId="3" fontId="5" fillId="0" borderId="0" xfId="44" applyNumberFormat="1" applyFont="1" applyFill="1" applyBorder="1" applyAlignment="1">
      <alignment horizontal="right"/>
    </xf>
    <xf numFmtId="3" fontId="7" fillId="0" borderId="0" xfId="44" applyNumberFormat="1" applyFont="1" applyFill="1" applyBorder="1" applyAlignment="1">
      <alignment horizontal="right"/>
    </xf>
    <xf numFmtId="2" fontId="5" fillId="0" borderId="0" xfId="44" applyNumberFormat="1" applyFont="1" applyFill="1" applyAlignment="1">
      <alignment horizontal="right"/>
    </xf>
    <xf numFmtId="0" fontId="7" fillId="0" borderId="10" xfId="54" quotePrefix="1" applyFont="1" applyFill="1" applyBorder="1" applyAlignment="1">
      <alignment horizontal="right"/>
    </xf>
    <xf numFmtId="0" fontId="7" fillId="0" borderId="0" xfId="51" applyFont="1" applyFill="1"/>
    <xf numFmtId="0" fontId="7" fillId="0" borderId="0" xfId="51" applyFont="1" applyFill="1" applyAlignment="1">
      <alignment horizontal="right"/>
    </xf>
    <xf numFmtId="0" fontId="7" fillId="0" borderId="0" xfId="54" applyFont="1" applyFill="1"/>
    <xf numFmtId="0" fontId="5" fillId="0" borderId="0" xfId="54" applyFont="1" applyFill="1"/>
    <xf numFmtId="0" fontId="5" fillId="0" borderId="0" xfId="0" applyFont="1" applyFill="1"/>
    <xf numFmtId="169" fontId="5" fillId="0" borderId="0" xfId="0" applyNumberFormat="1" applyFont="1" applyFill="1"/>
    <xf numFmtId="0" fontId="5" fillId="0" borderId="0" xfId="58" applyFont="1" applyAlignment="1">
      <alignment horizontal="left"/>
    </xf>
    <xf numFmtId="0" fontId="5" fillId="0" borderId="0" xfId="45" applyFont="1" applyFill="1" applyBorder="1"/>
    <xf numFmtId="0" fontId="5" fillId="0" borderId="0" xfId="45" applyFont="1" applyFill="1" applyAlignment="1">
      <alignment horizontal="right"/>
    </xf>
    <xf numFmtId="0" fontId="5" fillId="0" borderId="0" xfId="45" applyFont="1" applyFill="1"/>
    <xf numFmtId="0" fontId="5" fillId="0" borderId="0" xfId="45" applyFont="1"/>
    <xf numFmtId="0" fontId="4" fillId="0" borderId="0" xfId="45" applyFont="1" applyFill="1" applyBorder="1"/>
    <xf numFmtId="0" fontId="4" fillId="0" borderId="0" xfId="45" applyFont="1" applyFill="1" applyAlignment="1">
      <alignment horizontal="right"/>
    </xf>
    <xf numFmtId="0" fontId="5" fillId="0" borderId="0" xfId="45" applyFont="1" applyBorder="1"/>
    <xf numFmtId="0" fontId="7" fillId="0" borderId="10" xfId="48" quotePrefix="1" applyFont="1" applyFill="1" applyBorder="1" applyAlignment="1" applyProtection="1">
      <alignment horizontal="right"/>
    </xf>
    <xf numFmtId="14" fontId="7" fillId="0" borderId="0" xfId="48" quotePrefix="1" applyNumberFormat="1" applyFont="1" applyFill="1" applyBorder="1" applyAlignment="1" applyProtection="1">
      <alignment horizontal="right"/>
    </xf>
    <xf numFmtId="3" fontId="5" fillId="0" borderId="0" xfId="45" applyNumberFormat="1" applyFont="1" applyFill="1"/>
    <xf numFmtId="3" fontId="5" fillId="0" borderId="0" xfId="45" applyNumberFormat="1" applyFont="1" applyFill="1" applyBorder="1"/>
    <xf numFmtId="0" fontId="5" fillId="0" borderId="0" xfId="48" quotePrefix="1" applyFont="1" applyFill="1" applyBorder="1" applyAlignment="1" applyProtection="1">
      <alignment horizontal="left"/>
    </xf>
    <xf numFmtId="0" fontId="7" fillId="0" borderId="0" xfId="48" applyFont="1" applyFill="1" applyBorder="1" applyAlignment="1" applyProtection="1">
      <alignment horizontal="left"/>
    </xf>
    <xf numFmtId="3" fontId="7" fillId="0" borderId="0" xfId="48" applyNumberFormat="1" applyFont="1" applyFill="1" applyBorder="1" applyAlignment="1" applyProtection="1">
      <alignment horizontal="right"/>
    </xf>
    <xf numFmtId="3" fontId="5" fillId="0" borderId="0" xfId="50" applyNumberFormat="1" applyFont="1" applyFill="1" applyBorder="1"/>
    <xf numFmtId="3" fontId="5" fillId="0" borderId="10" xfId="50" applyNumberFormat="1" applyFont="1" applyFill="1" applyBorder="1"/>
    <xf numFmtId="0" fontId="5" fillId="0" borderId="0" xfId="48" applyFont="1" applyFill="1" applyBorder="1" applyAlignment="1" applyProtection="1">
      <alignment horizontal="left"/>
    </xf>
    <xf numFmtId="3" fontId="5" fillId="0" borderId="0" xfId="48" applyNumberFormat="1" applyFont="1" applyFill="1" applyBorder="1" applyAlignment="1" applyProtection="1">
      <alignment horizontal="right"/>
    </xf>
    <xf numFmtId="0" fontId="5" fillId="0" borderId="0" xfId="48" applyFont="1" applyBorder="1"/>
    <xf numFmtId="0" fontId="7" fillId="0" borderId="0" xfId="48" quotePrefix="1" applyFont="1" applyBorder="1" applyAlignment="1" applyProtection="1">
      <alignment horizontal="left"/>
    </xf>
    <xf numFmtId="3" fontId="7" fillId="0" borderId="0" xfId="48" applyNumberFormat="1" applyFont="1" applyBorder="1" applyAlignment="1" applyProtection="1">
      <alignment horizontal="right"/>
    </xf>
    <xf numFmtId="2" fontId="5" fillId="0" borderId="0" xfId="48" applyNumberFormat="1" applyFont="1" applyBorder="1"/>
    <xf numFmtId="0" fontId="5" fillId="0" borderId="0" xfId="58" applyFont="1" applyFill="1" applyAlignment="1">
      <alignment horizontal="left"/>
    </xf>
    <xf numFmtId="0" fontId="7" fillId="0" borderId="0" xfId="50" applyFont="1" applyFill="1"/>
    <xf numFmtId="0" fontId="5" fillId="0" borderId="0" xfId="50" applyFont="1" applyFill="1"/>
    <xf numFmtId="17" fontId="5" fillId="0" borderId="0" xfId="50" applyNumberFormat="1" applyFont="1" applyFill="1" applyBorder="1" applyAlignment="1">
      <alignment horizontal="right" wrapText="1"/>
    </xf>
    <xf numFmtId="0" fontId="4" fillId="0" borderId="0" xfId="45" applyFont="1" applyFill="1"/>
    <xf numFmtId="17" fontId="5" fillId="0" borderId="10" xfId="50" applyNumberFormat="1" applyFont="1" applyFill="1" applyBorder="1" applyAlignment="1">
      <alignment horizontal="right" wrapText="1"/>
    </xf>
    <xf numFmtId="1" fontId="5" fillId="0" borderId="10" xfId="48" applyNumberFormat="1" applyFont="1" applyFill="1" applyBorder="1" applyAlignment="1" applyProtection="1">
      <alignment horizontal="right" wrapText="1"/>
    </xf>
    <xf numFmtId="17" fontId="7" fillId="0" borderId="0" xfId="50" quotePrefix="1" applyNumberFormat="1" applyFont="1" applyFill="1" applyBorder="1" applyAlignment="1">
      <alignment horizontal="right"/>
    </xf>
    <xf numFmtId="0" fontId="5" fillId="0" borderId="0" xfId="50" applyFont="1" applyFill="1" applyBorder="1"/>
    <xf numFmtId="3" fontId="7" fillId="0" borderId="0" xfId="50" applyNumberFormat="1" applyFont="1" applyFill="1"/>
    <xf numFmtId="3" fontId="5" fillId="0" borderId="0" xfId="50" applyNumberFormat="1" applyFont="1" applyFill="1"/>
    <xf numFmtId="3" fontId="7" fillId="0" borderId="0" xfId="50" applyNumberFormat="1" applyFont="1" applyFill="1" applyBorder="1"/>
    <xf numFmtId="0" fontId="5" fillId="0" borderId="10" xfId="50" applyFont="1" applyFill="1" applyBorder="1"/>
    <xf numFmtId="0" fontId="7" fillId="0" borderId="10" xfId="0" quotePrefix="1" applyFont="1" applyFill="1" applyBorder="1" applyAlignment="1">
      <alignment horizontal="right"/>
    </xf>
    <xf numFmtId="0" fontId="5" fillId="0" borderId="13" xfId="51" applyFont="1" applyFill="1" applyBorder="1"/>
    <xf numFmtId="0" fontId="7" fillId="0" borderId="13" xfId="51" applyFont="1" applyFill="1" applyBorder="1"/>
    <xf numFmtId="0" fontId="7" fillId="0" borderId="14" xfId="51" applyFont="1" applyFill="1" applyBorder="1" applyAlignment="1">
      <alignment horizontal="right" wrapText="1"/>
    </xf>
    <xf numFmtId="0" fontId="7" fillId="0" borderId="10" xfId="51" applyFont="1" applyFill="1" applyBorder="1" applyAlignment="1">
      <alignment horizontal="right" wrapText="1"/>
    </xf>
    <xf numFmtId="169" fontId="5" fillId="0" borderId="10" xfId="53" applyNumberFormat="1" applyFont="1" applyFill="1" applyBorder="1"/>
    <xf numFmtId="3" fontId="5" fillId="0" borderId="0" xfId="44" applyNumberFormat="1" applyFont="1" applyFill="1" applyBorder="1" applyAlignment="1">
      <alignment horizontal="left"/>
    </xf>
    <xf numFmtId="3" fontId="7" fillId="0" borderId="0" xfId="44" quotePrefix="1" applyNumberFormat="1" applyFont="1" applyFill="1" applyBorder="1" applyAlignment="1">
      <alignment horizontal="right"/>
    </xf>
    <xf numFmtId="0" fontId="7" fillId="0" borderId="0" xfId="44" applyFont="1" applyFill="1" applyBorder="1" applyAlignment="1">
      <alignment wrapText="1"/>
    </xf>
    <xf numFmtId="0" fontId="4" fillId="0" borderId="0" xfId="44" applyFont="1" applyFill="1"/>
    <xf numFmtId="0" fontId="6" fillId="0" borderId="0" xfId="44" applyFont="1" applyFill="1"/>
    <xf numFmtId="0" fontId="5" fillId="0" borderId="0" xfId="57" applyFont="1" applyFill="1" applyAlignment="1">
      <alignment horizontal="left"/>
    </xf>
    <xf numFmtId="3" fontId="5" fillId="0" borderId="0" xfId="0" applyNumberFormat="1" applyFont="1" applyFill="1"/>
    <xf numFmtId="0" fontId="5" fillId="0" borderId="0" xfId="57" applyFont="1" applyFill="1" applyBorder="1"/>
    <xf numFmtId="0" fontId="5" fillId="0" borderId="0" xfId="57" applyFont="1" applyFill="1" applyAlignment="1">
      <alignment horizontal="right"/>
    </xf>
    <xf numFmtId="3" fontId="5" fillId="0" borderId="13" xfId="51" applyNumberFormat="1" applyFont="1" applyFill="1" applyBorder="1"/>
    <xf numFmtId="3" fontId="5" fillId="0" borderId="0" xfId="55" applyNumberFormat="1" applyFont="1" applyFill="1"/>
    <xf numFmtId="169" fontId="5" fillId="0" borderId="13" xfId="55" applyNumberFormat="1" applyFont="1" applyFill="1" applyBorder="1"/>
    <xf numFmtId="3" fontId="5" fillId="0" borderId="0" xfId="55" applyNumberFormat="1" applyFont="1" applyFill="1" applyBorder="1"/>
    <xf numFmtId="3" fontId="5" fillId="0" borderId="10" xfId="55" applyNumberFormat="1" applyFont="1" applyFill="1" applyBorder="1"/>
    <xf numFmtId="169" fontId="5" fillId="0" borderId="14" xfId="55" applyNumberFormat="1" applyFont="1" applyFill="1" applyBorder="1"/>
    <xf numFmtId="0" fontId="7" fillId="0" borderId="10" xfId="53" applyFont="1" applyFill="1" applyBorder="1" applyAlignment="1">
      <alignment horizontal="right"/>
    </xf>
    <xf numFmtId="3" fontId="7" fillId="0" borderId="0" xfId="53" applyNumberFormat="1" applyFont="1" applyFill="1"/>
    <xf numFmtId="0" fontId="5" fillId="0" borderId="10" xfId="53" applyFont="1" applyFill="1" applyBorder="1"/>
    <xf numFmtId="169" fontId="5" fillId="0" borderId="0" xfId="55" applyNumberFormat="1" applyFont="1" applyFill="1"/>
    <xf numFmtId="168" fontId="5" fillId="0" borderId="0" xfId="53" applyNumberFormat="1" applyFont="1" applyFill="1"/>
    <xf numFmtId="0" fontId="7" fillId="0" borderId="10" xfId="57" quotePrefix="1" applyFont="1" applyFill="1" applyBorder="1" applyAlignment="1">
      <alignment horizontal="right"/>
    </xf>
    <xf numFmtId="17" fontId="7" fillId="0" borderId="10" xfId="53" quotePrefix="1" applyNumberFormat="1" applyFont="1" applyFill="1" applyBorder="1" applyAlignment="1">
      <alignment horizontal="right"/>
    </xf>
    <xf numFmtId="0" fontId="7" fillId="0" borderId="0" xfId="0" applyFont="1" applyFill="1"/>
    <xf numFmtId="167" fontId="5" fillId="0" borderId="0" xfId="0" applyNumberFormat="1" applyFont="1" applyFill="1"/>
    <xf numFmtId="0" fontId="4" fillId="0" borderId="0" xfId="53" applyFont="1" applyFill="1"/>
    <xf numFmtId="3" fontId="5" fillId="0" borderId="10" xfId="53" applyNumberFormat="1" applyFont="1" applyBorder="1"/>
    <xf numFmtId="6" fontId="5" fillId="0" borderId="0" xfId="54" applyNumberFormat="1" applyFont="1" applyFill="1" applyBorder="1" applyAlignment="1">
      <alignment horizontal="left"/>
    </xf>
    <xf numFmtId="0" fontId="5" fillId="0" borderId="0" xfId="55" applyFont="1" applyBorder="1"/>
    <xf numFmtId="0" fontId="5" fillId="0" borderId="0" xfId="50" applyFont="1" applyFill="1" applyAlignment="1">
      <alignment wrapText="1"/>
    </xf>
    <xf numFmtId="0" fontId="1" fillId="0" borderId="0" xfId="0" applyFont="1" applyFill="1"/>
    <xf numFmtId="0" fontId="1" fillId="0" borderId="0" xfId="0" applyFont="1"/>
    <xf numFmtId="0" fontId="1" fillId="0" borderId="0" xfId="0" applyFont="1" applyBorder="1"/>
    <xf numFmtId="0" fontId="4" fillId="0" borderId="0" xfId="0" applyFont="1" applyFill="1"/>
    <xf numFmtId="0" fontId="7" fillId="0" borderId="0" xfId="54" quotePrefix="1" applyFont="1" applyFill="1" applyBorder="1" applyAlignment="1">
      <alignment horizontal="right"/>
    </xf>
    <xf numFmtId="0" fontId="5" fillId="0" borderId="0" xfId="54" applyFont="1" applyFill="1" applyBorder="1" applyAlignment="1">
      <alignment horizontal="right"/>
    </xf>
    <xf numFmtId="3" fontId="5" fillId="0" borderId="0" xfId="54" applyNumberFormat="1" applyFont="1" applyFill="1" applyBorder="1"/>
    <xf numFmtId="0" fontId="5" fillId="0" borderId="0" xfId="54" applyFont="1" applyFill="1" applyBorder="1" applyAlignment="1"/>
    <xf numFmtId="3" fontId="5" fillId="0" borderId="0" xfId="45" applyNumberFormat="1" applyFont="1" applyFill="1" applyBorder="1" applyAlignment="1">
      <alignment horizontal="right"/>
    </xf>
    <xf numFmtId="3" fontId="5" fillId="0" borderId="15" xfId="45" applyNumberFormat="1" applyFont="1" applyFill="1" applyBorder="1" applyAlignment="1">
      <alignment horizontal="right"/>
    </xf>
    <xf numFmtId="0" fontId="5" fillId="0" borderId="0" xfId="45" applyFont="1" applyFill="1" applyBorder="1" applyAlignment="1">
      <alignment horizontal="right"/>
    </xf>
    <xf numFmtId="169" fontId="5" fillId="0" borderId="0" xfId="55" applyNumberFormat="1" applyFont="1" applyFill="1" applyBorder="1"/>
    <xf numFmtId="6" fontId="7" fillId="0" borderId="10" xfId="53" quotePrefix="1" applyNumberFormat="1" applyFont="1" applyFill="1" applyBorder="1" applyAlignment="1">
      <alignment horizontal="center"/>
    </xf>
    <xf numFmtId="0" fontId="5" fillId="0" borderId="10" xfId="0" applyFont="1" applyFill="1" applyBorder="1"/>
    <xf numFmtId="3" fontId="7" fillId="0" borderId="0" xfId="47" quotePrefix="1" applyNumberFormat="1" applyFont="1" applyBorder="1" applyAlignment="1" applyProtection="1">
      <alignment horizontal="left"/>
    </xf>
    <xf numFmtId="3" fontId="5" fillId="0" borderId="10" xfId="49" applyNumberFormat="1" applyFont="1" applyFill="1" applyBorder="1"/>
    <xf numFmtId="3" fontId="5" fillId="0" borderId="0" xfId="45" applyNumberFormat="1" applyFont="1" applyFill="1" applyBorder="1" applyAlignment="1">
      <alignment wrapText="1"/>
    </xf>
    <xf numFmtId="3" fontId="5" fillId="0" borderId="0" xfId="45" applyNumberFormat="1" applyFont="1" applyFill="1" applyAlignment="1">
      <alignment horizontal="left"/>
    </xf>
    <xf numFmtId="3" fontId="5" fillId="0" borderId="0" xfId="52" applyNumberFormat="1" applyFont="1" applyFill="1"/>
    <xf numFmtId="4" fontId="5" fillId="0" borderId="0" xfId="52" applyNumberFormat="1" applyFont="1" applyFill="1"/>
    <xf numFmtId="3" fontId="7" fillId="0" borderId="0" xfId="44" applyNumberFormat="1" applyFont="1" applyFill="1" applyAlignment="1">
      <alignment horizontal="right" wrapText="1"/>
    </xf>
    <xf numFmtId="3" fontId="5" fillId="0" borderId="0" xfId="49" applyNumberFormat="1" applyFont="1" applyFill="1" applyAlignment="1">
      <alignment wrapText="1"/>
    </xf>
    <xf numFmtId="3" fontId="5" fillId="0" borderId="10" xfId="49" applyNumberFormat="1" applyFont="1" applyFill="1" applyBorder="1" applyAlignment="1">
      <alignment wrapText="1"/>
    </xf>
    <xf numFmtId="3" fontId="5" fillId="0" borderId="10" xfId="49" applyNumberFormat="1" applyFont="1" applyFill="1" applyBorder="1" applyAlignment="1">
      <alignment horizontal="left" wrapText="1" indent="1"/>
    </xf>
    <xf numFmtId="0" fontId="7" fillId="0" borderId="0" xfId="45" applyFont="1" applyFill="1"/>
    <xf numFmtId="0" fontId="7" fillId="0" borderId="0" xfId="45" applyFont="1" applyBorder="1" applyAlignment="1">
      <alignment wrapText="1"/>
    </xf>
    <xf numFmtId="0" fontId="5" fillId="0" borderId="0" xfId="45" applyFont="1" applyAlignment="1">
      <alignment horizontal="left"/>
    </xf>
    <xf numFmtId="0" fontId="7" fillId="0" borderId="0" xfId="45" applyFont="1"/>
    <xf numFmtId="0" fontId="7" fillId="0" borderId="0" xfId="45" applyFont="1" applyFill="1" applyAlignment="1">
      <alignment horizontal="center"/>
    </xf>
    <xf numFmtId="0" fontId="7" fillId="0" borderId="0" xfId="45" applyFont="1" applyFill="1" applyBorder="1" applyAlignment="1">
      <alignment horizontal="center"/>
    </xf>
    <xf numFmtId="3" fontId="30" fillId="0" borderId="0" xfId="45" applyNumberFormat="1" applyFont="1" applyFill="1" applyBorder="1"/>
    <xf numFmtId="0" fontId="30" fillId="0" borderId="0" xfId="45" applyFont="1"/>
    <xf numFmtId="3" fontId="5" fillId="0" borderId="10" xfId="52" applyNumberFormat="1" applyFont="1" applyFill="1" applyBorder="1"/>
    <xf numFmtId="3" fontId="7" fillId="0" borderId="0" xfId="52" applyNumberFormat="1" applyFont="1" applyFill="1"/>
    <xf numFmtId="3" fontId="5" fillId="0" borderId="0" xfId="52" applyNumberFormat="1" applyFont="1" applyFill="1" applyBorder="1"/>
    <xf numFmtId="0" fontId="5" fillId="0" borderId="0" xfId="54" applyFont="1" applyFill="1" applyBorder="1"/>
    <xf numFmtId="3" fontId="5" fillId="0" borderId="0" xfId="59" applyNumberFormat="1" applyFont="1" applyFill="1"/>
    <xf numFmtId="0" fontId="5" fillId="0" borderId="0" xfId="59" applyFont="1"/>
    <xf numFmtId="3" fontId="5" fillId="0" borderId="16" xfId="55" applyNumberFormat="1" applyFont="1" applyFill="1" applyBorder="1"/>
    <xf numFmtId="0" fontId="5" fillId="0" borderId="10" xfId="51" applyFont="1" applyBorder="1"/>
    <xf numFmtId="0" fontId="5" fillId="0" borderId="10" xfId="51" applyFont="1" applyFill="1" applyBorder="1"/>
    <xf numFmtId="167" fontId="7" fillId="0" borderId="0" xfId="44" applyNumberFormat="1" applyFont="1" applyFill="1" applyBorder="1"/>
    <xf numFmtId="167" fontId="7" fillId="0" borderId="10" xfId="44" applyNumberFormat="1" applyFont="1" applyFill="1" applyBorder="1"/>
    <xf numFmtId="167" fontId="5" fillId="0" borderId="10" xfId="44" applyNumberFormat="1" applyFont="1" applyFill="1" applyBorder="1"/>
    <xf numFmtId="167" fontId="5" fillId="0" borderId="0" xfId="44" applyNumberFormat="1" applyFont="1" applyFill="1" applyBorder="1"/>
    <xf numFmtId="0" fontId="2" fillId="0" borderId="0" xfId="50" applyFont="1" applyFill="1"/>
    <xf numFmtId="0" fontId="2" fillId="0" borderId="0" xfId="50" applyFont="1" applyFill="1" applyBorder="1"/>
    <xf numFmtId="3" fontId="2" fillId="0" borderId="0" xfId="50" applyNumberFormat="1" applyFont="1" applyFill="1"/>
    <xf numFmtId="169" fontId="5" fillId="0" borderId="10" xfId="55" applyNumberFormat="1" applyFont="1" applyFill="1" applyBorder="1" applyAlignment="1">
      <alignment horizontal="right"/>
    </xf>
    <xf numFmtId="0" fontId="5" fillId="0" borderId="0" xfId="52" applyFont="1" applyBorder="1" applyAlignment="1">
      <alignment horizontal="left"/>
    </xf>
    <xf numFmtId="4" fontId="5" fillId="0" borderId="0" xfId="52" applyNumberFormat="1" applyFont="1" applyFill="1" applyAlignment="1">
      <alignment horizontal="center"/>
    </xf>
    <xf numFmtId="0" fontId="2" fillId="0" borderId="0" xfId="50" applyFont="1" applyFill="1" applyAlignment="1">
      <alignment horizontal="center"/>
    </xf>
    <xf numFmtId="0" fontId="7" fillId="0" borderId="0" xfId="44" applyFont="1" applyAlignment="1">
      <alignment horizontal="center"/>
    </xf>
    <xf numFmtId="3" fontId="5" fillId="0" borderId="0" xfId="47" applyNumberFormat="1" applyFont="1" applyBorder="1" applyAlignment="1" applyProtection="1">
      <alignment horizontal="left"/>
    </xf>
    <xf numFmtId="0" fontId="5" fillId="0" borderId="0" xfId="44" quotePrefix="1" applyFont="1" applyFill="1" applyBorder="1" applyAlignment="1">
      <alignment horizontal="center"/>
    </xf>
    <xf numFmtId="0" fontId="5" fillId="0" borderId="0" xfId="0" applyFont="1" applyFill="1" applyBorder="1" applyAlignment="1">
      <alignment horizontal="center"/>
    </xf>
    <xf numFmtId="0" fontId="5" fillId="0" borderId="0" xfId="58" applyFont="1" applyFill="1" applyBorder="1" applyAlignment="1">
      <alignment horizontal="left"/>
    </xf>
    <xf numFmtId="0" fontId="5" fillId="0" borderId="0" xfId="0" applyFont="1" applyFill="1" applyBorder="1"/>
    <xf numFmtId="0" fontId="5" fillId="0" borderId="17" xfId="51" applyFont="1" applyFill="1" applyBorder="1"/>
    <xf numFmtId="3" fontId="5" fillId="0" borderId="17" xfId="51" applyNumberFormat="1" applyFont="1" applyFill="1" applyBorder="1"/>
    <xf numFmtId="0" fontId="7" fillId="0" borderId="13" xfId="51" applyFont="1" applyFill="1" applyBorder="1" applyAlignment="1">
      <alignment horizontal="right" wrapText="1"/>
    </xf>
    <xf numFmtId="0" fontId="7" fillId="0" borderId="0" xfId="51" applyFont="1" applyFill="1" applyBorder="1" applyAlignment="1">
      <alignment horizontal="right" wrapText="1"/>
    </xf>
    <xf numFmtId="0" fontId="7" fillId="0" borderId="0" xfId="51" applyFont="1" applyFill="1" applyBorder="1"/>
    <xf numFmtId="0" fontId="5" fillId="0" borderId="0" xfId="59" applyFont="1" applyAlignment="1">
      <alignment horizontal="left" indent="1"/>
    </xf>
    <xf numFmtId="3" fontId="5" fillId="0" borderId="10" xfId="44" applyNumberFormat="1" applyFont="1" applyBorder="1"/>
    <xf numFmtId="169" fontId="5" fillId="0" borderId="0" xfId="57" applyNumberFormat="1" applyFont="1" applyFill="1"/>
    <xf numFmtId="3" fontId="5" fillId="0" borderId="0" xfId="57" quotePrefix="1" applyNumberFormat="1" applyFont="1" applyFill="1" applyAlignment="1">
      <alignment horizontal="right"/>
    </xf>
    <xf numFmtId="3" fontId="1" fillId="0" borderId="0" xfId="0" applyNumberFormat="1" applyFont="1" applyFill="1"/>
    <xf numFmtId="3" fontId="5" fillId="0" borderId="0" xfId="54" applyNumberFormat="1" applyFont="1" applyFill="1" applyAlignment="1">
      <alignment horizontal="right"/>
    </xf>
    <xf numFmtId="3" fontId="7" fillId="0" borderId="0" xfId="44" applyNumberFormat="1" applyFont="1" applyFill="1" applyAlignment="1">
      <alignment horizontal="right"/>
    </xf>
    <xf numFmtId="3" fontId="7" fillId="0" borderId="0" xfId="44" quotePrefix="1" applyNumberFormat="1" applyFont="1" applyFill="1" applyAlignment="1">
      <alignment horizontal="right"/>
    </xf>
    <xf numFmtId="3" fontId="5" fillId="0" borderId="0" xfId="44" quotePrefix="1" applyNumberFormat="1" applyFont="1" applyFill="1" applyAlignment="1">
      <alignment horizontal="right"/>
    </xf>
    <xf numFmtId="4" fontId="5" fillId="0" borderId="0" xfId="44" applyNumberFormat="1" applyFont="1" applyFill="1" applyAlignment="1">
      <alignment horizontal="right"/>
    </xf>
    <xf numFmtId="4" fontId="5" fillId="0" borderId="0" xfId="44" applyNumberFormat="1" applyFont="1" applyFill="1"/>
    <xf numFmtId="0" fontId="7" fillId="0" borderId="0" xfId="0" applyFont="1" applyFill="1" applyBorder="1"/>
    <xf numFmtId="6" fontId="5" fillId="0" borderId="0" xfId="0" applyNumberFormat="1" applyFont="1" applyFill="1" applyBorder="1" applyAlignment="1">
      <alignment horizontal="left"/>
    </xf>
    <xf numFmtId="0" fontId="5" fillId="0" borderId="0" xfId="0" applyFont="1" applyFill="1" applyBorder="1" applyAlignment="1">
      <alignment horizontal="right"/>
    </xf>
    <xf numFmtId="6" fontId="7" fillId="0" borderId="0" xfId="54" applyNumberFormat="1" applyFont="1" applyFill="1" applyBorder="1" applyAlignment="1">
      <alignment horizontal="right"/>
    </xf>
    <xf numFmtId="6" fontId="7" fillId="0" borderId="0" xfId="54" quotePrefix="1" applyNumberFormat="1" applyFont="1" applyFill="1" applyBorder="1" applyAlignment="1">
      <alignment horizontal="right"/>
    </xf>
    <xf numFmtId="6" fontId="7" fillId="0" borderId="0" xfId="0" applyNumberFormat="1" applyFont="1" applyBorder="1" applyAlignment="1">
      <alignment horizontal="left"/>
    </xf>
    <xf numFmtId="0" fontId="5" fillId="0" borderId="0" xfId="51" applyFont="1" applyFill="1" applyAlignment="1">
      <alignment horizontal="center"/>
    </xf>
    <xf numFmtId="3" fontId="5" fillId="0" borderId="0" xfId="55" applyNumberFormat="1" applyFont="1"/>
    <xf numFmtId="3" fontId="6" fillId="0" borderId="0" xfId="44" applyNumberFormat="1" applyFont="1" applyFill="1"/>
    <xf numFmtId="3" fontId="1" fillId="0" borderId="0" xfId="0" applyNumberFormat="1" applyFont="1"/>
    <xf numFmtId="3" fontId="5" fillId="0" borderId="0" xfId="44" applyNumberFormat="1" applyFont="1" applyBorder="1" applyAlignment="1">
      <alignment horizontal="right"/>
    </xf>
    <xf numFmtId="3" fontId="5" fillId="0" borderId="10" xfId="44" applyNumberFormat="1" applyFont="1" applyBorder="1" applyAlignment="1">
      <alignment horizontal="right"/>
    </xf>
    <xf numFmtId="3" fontId="7" fillId="0" borderId="0" xfId="44" quotePrefix="1" applyNumberFormat="1" applyFont="1" applyAlignment="1">
      <alignment horizontal="right"/>
    </xf>
    <xf numFmtId="3" fontId="5" fillId="0" borderId="0" xfId="44" quotePrefix="1" applyNumberFormat="1" applyFont="1" applyAlignment="1">
      <alignment horizontal="right"/>
    </xf>
    <xf numFmtId="3" fontId="5" fillId="0" borderId="0" xfId="44" applyNumberFormat="1" applyFont="1" applyAlignment="1">
      <alignment horizontal="right"/>
    </xf>
    <xf numFmtId="3" fontId="7" fillId="0" borderId="0" xfId="44" applyNumberFormat="1" applyFont="1" applyBorder="1" applyAlignment="1">
      <alignment horizontal="right"/>
    </xf>
    <xf numFmtId="169" fontId="5" fillId="0" borderId="10" xfId="0" applyNumberFormat="1" applyFont="1" applyFill="1" applyBorder="1"/>
    <xf numFmtId="3" fontId="5" fillId="0" borderId="0" xfId="42" applyNumberFormat="1" applyFont="1"/>
    <xf numFmtId="3" fontId="5" fillId="0" borderId="0" xfId="42" applyNumberFormat="1" applyFont="1" applyFill="1"/>
    <xf numFmtId="0" fontId="5" fillId="0" borderId="0" xfId="42" applyFont="1"/>
    <xf numFmtId="3" fontId="5" fillId="0" borderId="10" xfId="42" applyNumberFormat="1" applyFont="1" applyBorder="1"/>
    <xf numFmtId="0" fontId="5" fillId="0" borderId="0" xfId="42" applyFont="1" applyFill="1"/>
    <xf numFmtId="3" fontId="5" fillId="0" borderId="13" xfId="55" applyNumberFormat="1" applyFont="1" applyFill="1" applyBorder="1"/>
    <xf numFmtId="3" fontId="5" fillId="0" borderId="0" xfId="44" applyNumberFormat="1" applyFont="1" applyBorder="1"/>
    <xf numFmtId="167" fontId="7" fillId="0" borderId="0" xfId="0" applyNumberFormat="1" applyFont="1" applyFill="1"/>
    <xf numFmtId="167" fontId="1" fillId="0" borderId="0" xfId="0" applyNumberFormat="1" applyFont="1" applyFill="1"/>
    <xf numFmtId="0" fontId="5" fillId="0" borderId="10" xfId="45" applyFont="1" applyFill="1" applyBorder="1"/>
    <xf numFmtId="3" fontId="5" fillId="0" borderId="10" xfId="45" applyNumberFormat="1" applyFont="1" applyFill="1" applyBorder="1"/>
    <xf numFmtId="169" fontId="5" fillId="0" borderId="0" xfId="57" applyNumberFormat="1" applyFont="1" applyFill="1" applyAlignment="1">
      <alignment horizontal="right"/>
    </xf>
    <xf numFmtId="3" fontId="5" fillId="0" borderId="0" xfId="68" applyNumberFormat="1" applyFont="1" applyFill="1" applyAlignment="1">
      <alignment horizontal="right"/>
    </xf>
    <xf numFmtId="3" fontId="5" fillId="0" borderId="0" xfId="68" applyNumberFormat="1" applyFont="1" applyFill="1"/>
    <xf numFmtId="0" fontId="6" fillId="0" borderId="0" xfId="54" applyFont="1"/>
    <xf numFmtId="9" fontId="5" fillId="0" borderId="0" xfId="64" applyFont="1"/>
    <xf numFmtId="0" fontId="7" fillId="0" borderId="0" xfId="45" applyFont="1" applyAlignment="1">
      <alignment horizontal="center"/>
    </xf>
    <xf numFmtId="0" fontId="7" fillId="0" borderId="0" xfId="45" applyFont="1" applyBorder="1" applyAlignment="1">
      <alignment horizontal="center"/>
    </xf>
    <xf numFmtId="0" fontId="5" fillId="0" borderId="0" xfId="44" applyFont="1" applyAlignment="1">
      <alignment horizontal="center"/>
    </xf>
    <xf numFmtId="0" fontId="6" fillId="0" borderId="0" xfId="54" applyFont="1" applyAlignment="1">
      <alignment horizontal="center"/>
    </xf>
    <xf numFmtId="0" fontId="4" fillId="0" borderId="0" xfId="44" applyFont="1" applyFill="1" applyAlignment="1">
      <alignment horizontal="center"/>
    </xf>
    <xf numFmtId="3" fontId="5" fillId="0" borderId="15" xfId="50" applyNumberFormat="1" applyFont="1" applyFill="1" applyBorder="1"/>
    <xf numFmtId="0" fontId="6" fillId="0" borderId="0" xfId="54" applyFont="1" applyFill="1"/>
    <xf numFmtId="0" fontId="32" fillId="0" borderId="0" xfId="0" applyFont="1"/>
    <xf numFmtId="0" fontId="1" fillId="0" borderId="0" xfId="57" applyFont="1"/>
    <xf numFmtId="0" fontId="7" fillId="0" borderId="0" xfId="57" applyFont="1" applyBorder="1" applyAlignment="1">
      <alignment horizontal="center"/>
    </xf>
    <xf numFmtId="0" fontId="1" fillId="0" borderId="10" xfId="57" applyFont="1" applyBorder="1"/>
    <xf numFmtId="3" fontId="1" fillId="0" borderId="0" xfId="57" applyNumberFormat="1" applyFont="1"/>
    <xf numFmtId="0" fontId="1" fillId="0" borderId="0" xfId="57" applyFont="1" applyFill="1"/>
    <xf numFmtId="3" fontId="5" fillId="0" borderId="0" xfId="52" applyNumberFormat="1" applyFont="1"/>
    <xf numFmtId="3" fontId="5" fillId="0" borderId="17" xfId="55" applyNumberFormat="1" applyFont="1" applyFill="1" applyBorder="1"/>
    <xf numFmtId="3" fontId="5" fillId="0" borderId="0" xfId="59" applyNumberFormat="1" applyFont="1" applyFill="1" applyBorder="1"/>
    <xf numFmtId="3" fontId="5" fillId="0" borderId="0" xfId="59" applyNumberFormat="1" applyFont="1"/>
    <xf numFmtId="0" fontId="1" fillId="0" borderId="0" xfId="0" applyFont="1" applyAlignment="1">
      <alignment vertical="center"/>
    </xf>
    <xf numFmtId="0" fontId="5" fillId="0" borderId="0" xfId="59" applyFont="1" applyBorder="1"/>
    <xf numFmtId="14" fontId="5" fillId="0" borderId="0" xfId="0" applyNumberFormat="1" applyFont="1" applyBorder="1" applyAlignment="1">
      <alignment horizontal="right" wrapText="1"/>
    </xf>
    <xf numFmtId="0" fontId="5" fillId="0" borderId="0" xfId="0" quotePrefix="1" applyFont="1"/>
    <xf numFmtId="3" fontId="5" fillId="0" borderId="0" xfId="42" quotePrefix="1" applyNumberFormat="1" applyFont="1"/>
    <xf numFmtId="0" fontId="1" fillId="0" borderId="0" xfId="42" applyFont="1"/>
    <xf numFmtId="0" fontId="5" fillId="0" borderId="10" xfId="42" applyFont="1" applyBorder="1"/>
    <xf numFmtId="14" fontId="5" fillId="0" borderId="0" xfId="42" applyNumberFormat="1" applyFont="1" applyBorder="1" applyAlignment="1">
      <alignment horizontal="right" wrapText="1"/>
    </xf>
    <xf numFmtId="6" fontId="7" fillId="0" borderId="0" xfId="42" applyNumberFormat="1" applyFont="1" applyBorder="1" applyAlignment="1">
      <alignment horizontal="left"/>
    </xf>
    <xf numFmtId="0" fontId="5" fillId="0" borderId="0" xfId="51" applyFont="1" applyFill="1" applyAlignment="1">
      <alignment horizontal="left"/>
    </xf>
    <xf numFmtId="0" fontId="7" fillId="0" borderId="0" xfId="54" applyFont="1" applyFill="1" applyAlignment="1">
      <alignment horizontal="left"/>
    </xf>
    <xf numFmtId="0" fontId="5" fillId="0" borderId="0" xfId="54" applyFont="1" applyFill="1" applyAlignment="1">
      <alignment horizontal="right"/>
    </xf>
    <xf numFmtId="0" fontId="5" fillId="0" borderId="0" xfId="68" applyFont="1" applyFill="1" applyAlignment="1">
      <alignment horizontal="right"/>
    </xf>
    <xf numFmtId="0" fontId="5" fillId="0" borderId="0" xfId="54" applyFont="1" applyFill="1" applyAlignment="1">
      <alignment horizontal="left" indent="1"/>
    </xf>
    <xf numFmtId="0" fontId="5" fillId="0" borderId="0" xfId="68" applyFont="1" applyFill="1" applyAlignment="1">
      <alignment horizontal="left" indent="1"/>
    </xf>
    <xf numFmtId="0" fontId="5" fillId="0" borderId="10" xfId="54" applyFont="1" applyFill="1" applyBorder="1"/>
    <xf numFmtId="3" fontId="5" fillId="0" borderId="10" xfId="54" applyNumberFormat="1" applyFont="1" applyFill="1" applyBorder="1"/>
    <xf numFmtId="3" fontId="5" fillId="0" borderId="10" xfId="68" applyNumberFormat="1" applyFont="1" applyFill="1" applyBorder="1"/>
    <xf numFmtId="0" fontId="7" fillId="0" borderId="0" xfId="0" applyFont="1" applyFill="1" applyAlignment="1">
      <alignment wrapText="1"/>
    </xf>
    <xf numFmtId="3" fontId="5" fillId="0" borderId="0" xfId="43" applyNumberFormat="1" applyFont="1" applyFill="1"/>
    <xf numFmtId="3" fontId="5" fillId="0" borderId="10" xfId="43" applyNumberFormat="1" applyFont="1" applyFill="1" applyBorder="1"/>
    <xf numFmtId="0" fontId="5" fillId="0" borderId="0" xfId="0" applyFont="1" applyFill="1" applyAlignment="1">
      <alignment vertical="top" wrapText="1"/>
    </xf>
    <xf numFmtId="3" fontId="5" fillId="0" borderId="0" xfId="43" applyNumberFormat="1" applyFont="1" applyFill="1" applyAlignment="1">
      <alignment vertical="top" wrapText="1"/>
    </xf>
    <xf numFmtId="0" fontId="5" fillId="0" borderId="0" xfId="68" applyFont="1" applyFill="1"/>
    <xf numFmtId="0" fontId="5" fillId="0" borderId="0" xfId="0" applyFont="1" applyFill="1" applyAlignment="1">
      <alignment wrapText="1"/>
    </xf>
    <xf numFmtId="0" fontId="5" fillId="0" borderId="0" xfId="43" applyFont="1" applyFill="1" applyAlignment="1">
      <alignment vertical="top" wrapText="1"/>
    </xf>
    <xf numFmtId="3" fontId="5" fillId="0" borderId="0" xfId="42" applyNumberFormat="1" applyFont="1" applyFill="1" applyAlignment="1">
      <alignment vertical="top" wrapText="1"/>
    </xf>
    <xf numFmtId="3" fontId="5" fillId="0" borderId="0" xfId="0" applyNumberFormat="1" applyFont="1" applyFill="1" applyAlignment="1">
      <alignment vertical="top" wrapText="1"/>
    </xf>
    <xf numFmtId="0" fontId="5" fillId="0" borderId="10" xfId="43" applyFont="1" applyFill="1" applyBorder="1" applyAlignment="1">
      <alignment vertical="top" wrapText="1"/>
    </xf>
    <xf numFmtId="3" fontId="5" fillId="0" borderId="10" xfId="42" applyNumberFormat="1" applyFont="1" applyFill="1" applyBorder="1" applyAlignment="1">
      <alignment vertical="top" wrapText="1"/>
    </xf>
    <xf numFmtId="3" fontId="5" fillId="0" borderId="10" xfId="0" applyNumberFormat="1" applyFont="1" applyFill="1" applyBorder="1" applyAlignment="1">
      <alignment vertical="top" wrapText="1"/>
    </xf>
    <xf numFmtId="6" fontId="7" fillId="0" borderId="10" xfId="54" applyNumberFormat="1" applyFont="1" applyFill="1" applyBorder="1" applyAlignment="1">
      <alignment horizontal="right"/>
    </xf>
    <xf numFmtId="0" fontId="7" fillId="0" borderId="0" xfId="54" applyFont="1" applyFill="1" applyAlignment="1">
      <alignment horizontal="center"/>
    </xf>
    <xf numFmtId="0" fontId="1" fillId="0" borderId="0" xfId="0" applyFont="1" applyFill="1" applyAlignment="1">
      <alignment horizontal="center"/>
    </xf>
    <xf numFmtId="0" fontId="1" fillId="0" borderId="0" xfId="0" applyFont="1" applyFill="1" applyBorder="1"/>
    <xf numFmtId="0" fontId="7" fillId="0" borderId="0" xfId="0" applyFont="1" applyFill="1" applyBorder="1" applyAlignment="1">
      <alignment wrapText="1"/>
    </xf>
    <xf numFmtId="0" fontId="5" fillId="0" borderId="0" xfId="0" applyFont="1" applyFill="1" applyBorder="1" applyAlignment="1">
      <alignment vertical="top" wrapText="1"/>
    </xf>
    <xf numFmtId="0" fontId="5" fillId="0" borderId="0" xfId="57" applyFont="1" applyFill="1" applyAlignment="1">
      <alignment horizontal="left" wrapText="1"/>
    </xf>
    <xf numFmtId="0" fontId="5" fillId="0" borderId="0" xfId="54" applyFont="1" applyFill="1" applyAlignment="1">
      <alignment wrapText="1"/>
    </xf>
    <xf numFmtId="0" fontId="5" fillId="0" borderId="0" xfId="0" applyFont="1" applyFill="1" applyAlignment="1">
      <alignment wrapText="1"/>
    </xf>
    <xf numFmtId="6" fontId="5" fillId="0" borderId="10" xfId="68" applyNumberFormat="1" applyFont="1" applyFill="1" applyBorder="1" applyAlignment="1">
      <alignment horizontal="left"/>
    </xf>
    <xf numFmtId="0" fontId="5" fillId="0" borderId="0" xfId="47" applyFont="1" applyFill="1" applyAlignment="1" applyProtection="1">
      <alignment horizontal="left"/>
    </xf>
    <xf numFmtId="0" fontId="5" fillId="0" borderId="10" xfId="47" applyFont="1" applyFill="1" applyBorder="1" applyAlignment="1" applyProtection="1">
      <alignment horizontal="left"/>
    </xf>
    <xf numFmtId="0" fontId="7" fillId="0" borderId="0" xfId="47" applyFont="1" applyFill="1" applyAlignment="1" applyProtection="1">
      <alignment horizontal="left"/>
    </xf>
    <xf numFmtId="0" fontId="5" fillId="0" borderId="0" xfId="44" quotePrefix="1" applyFont="1" applyFill="1" applyAlignment="1">
      <alignment horizontal="left"/>
    </xf>
    <xf numFmtId="0" fontId="7" fillId="0" borderId="0" xfId="44" applyFont="1" applyFill="1" applyBorder="1"/>
    <xf numFmtId="0" fontId="7" fillId="0" borderId="0" xfId="44" applyFont="1" applyFill="1" applyAlignment="1">
      <alignment horizontal="left"/>
    </xf>
    <xf numFmtId="0" fontId="7" fillId="0" borderId="0" xfId="44" applyFont="1" applyFill="1" applyAlignment="1">
      <alignment wrapText="1"/>
    </xf>
    <xf numFmtId="0" fontId="5" fillId="0" borderId="10" xfId="0" applyFont="1" applyFill="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5" fillId="0" borderId="0" xfId="0" applyFont="1" applyAlignment="1">
      <alignment vertical="center"/>
    </xf>
    <xf numFmtId="0" fontId="5" fillId="0" borderId="0" xfId="0" applyFont="1" applyAlignment="1">
      <alignment vertical="center" wrapText="1"/>
    </xf>
    <xf numFmtId="0" fontId="5" fillId="0" borderId="10" xfId="0" applyFont="1" applyBorder="1" applyAlignment="1">
      <alignment horizontal="left" vertical="center" wrapText="1" indent="1"/>
    </xf>
    <xf numFmtId="0" fontId="5" fillId="0" borderId="10" xfId="0" applyFont="1" applyBorder="1" applyAlignment="1">
      <alignment vertical="center"/>
    </xf>
    <xf numFmtId="0" fontId="7" fillId="0" borderId="10" xfId="0" applyFont="1" applyBorder="1"/>
    <xf numFmtId="0" fontId="5" fillId="0" borderId="0" xfId="44" quotePrefix="1" applyFont="1" applyFill="1" applyAlignment="1">
      <alignment horizontal="left" indent="1"/>
    </xf>
    <xf numFmtId="0" fontId="5" fillId="0" borderId="0" xfId="0" applyFont="1" applyFill="1" applyAlignment="1">
      <alignment horizontal="left" wrapText="1" indent="1"/>
    </xf>
    <xf numFmtId="0" fontId="5" fillId="0" borderId="10" xfId="0" applyFont="1" applyFill="1" applyBorder="1" applyAlignment="1">
      <alignment horizontal="left" wrapText="1" indent="1"/>
    </xf>
    <xf numFmtId="0" fontId="5" fillId="0" borderId="0" xfId="44" quotePrefix="1" applyFont="1" applyFill="1" applyBorder="1" applyAlignment="1">
      <alignment horizontal="left"/>
    </xf>
    <xf numFmtId="0" fontId="5" fillId="0" borderId="10" xfId="44" quotePrefix="1" applyFont="1" applyFill="1" applyBorder="1" applyAlignment="1">
      <alignment horizontal="left" wrapText="1" indent="1"/>
    </xf>
    <xf numFmtId="0" fontId="5" fillId="0" borderId="10" xfId="44" quotePrefix="1" applyFont="1" applyFill="1" applyBorder="1" applyAlignment="1">
      <alignment horizontal="left" indent="1"/>
    </xf>
    <xf numFmtId="0" fontId="7" fillId="0" borderId="11" xfId="44" applyFont="1" applyFill="1" applyBorder="1" applyAlignment="1">
      <alignment horizontal="left"/>
    </xf>
    <xf numFmtId="0" fontId="5" fillId="0" borderId="0" xfId="46" applyFont="1" applyFill="1" applyBorder="1"/>
    <xf numFmtId="0" fontId="5" fillId="0" borderId="0" xfId="44" applyFont="1" applyFill="1" applyAlignment="1">
      <alignment horizontal="left" indent="1"/>
    </xf>
    <xf numFmtId="0" fontId="5" fillId="0" borderId="10" xfId="44" applyFont="1" applyFill="1" applyBorder="1" applyAlignment="1">
      <alignment horizontal="left" indent="1"/>
    </xf>
    <xf numFmtId="0" fontId="7" fillId="0" borderId="0" xfId="44" applyFont="1" applyFill="1" applyAlignment="1">
      <alignment horizontal="left" indent="1"/>
    </xf>
    <xf numFmtId="0" fontId="7" fillId="0" borderId="10" xfId="50" applyFont="1" applyFill="1" applyBorder="1"/>
    <xf numFmtId="0" fontId="5" fillId="0" borderId="15" xfId="0" applyFont="1" applyFill="1" applyBorder="1" applyAlignment="1">
      <alignment vertical="center"/>
    </xf>
    <xf numFmtId="0" fontId="7" fillId="0" borderId="0" xfId="50" applyFont="1" applyFill="1" applyBorder="1"/>
    <xf numFmtId="0" fontId="4" fillId="0" borderId="0" xfId="57" applyFont="1" applyFill="1" applyBorder="1"/>
    <xf numFmtId="0" fontId="4" fillId="0" borderId="0" xfId="56" applyFont="1" applyFill="1" applyBorder="1"/>
    <xf numFmtId="0" fontId="5" fillId="0" borderId="0" xfId="52" quotePrefix="1" applyFont="1" applyFill="1" applyBorder="1" applyAlignment="1">
      <alignment horizontal="left"/>
    </xf>
    <xf numFmtId="0" fontId="7" fillId="0" borderId="0" xfId="52" applyFont="1" applyFill="1"/>
    <xf numFmtId="0" fontId="5" fillId="0" borderId="0" xfId="52" applyFont="1" applyFill="1"/>
    <xf numFmtId="0" fontId="5" fillId="0" borderId="0" xfId="52" applyFont="1" applyFill="1" applyAlignment="1">
      <alignment horizontal="left" indent="1"/>
    </xf>
    <xf numFmtId="0" fontId="5" fillId="0" borderId="10" xfId="52" applyFont="1" applyFill="1" applyBorder="1" applyAlignment="1">
      <alignment horizontal="left" indent="1"/>
    </xf>
    <xf numFmtId="0" fontId="5" fillId="0" borderId="0" xfId="52" applyFont="1" applyFill="1" applyAlignment="1">
      <alignment wrapText="1"/>
    </xf>
    <xf numFmtId="0" fontId="5" fillId="0" borderId="0" xfId="52" applyFont="1" applyFill="1" applyBorder="1"/>
    <xf numFmtId="0" fontId="5" fillId="0" borderId="10" xfId="52" applyFont="1" applyFill="1" applyBorder="1"/>
    <xf numFmtId="0" fontId="5" fillId="0" borderId="0" xfId="52" applyFont="1" applyFill="1" applyAlignment="1">
      <alignment horizontal="left" wrapText="1" indent="1"/>
    </xf>
    <xf numFmtId="0" fontId="5" fillId="0" borderId="0" xfId="52" applyFont="1" applyFill="1" applyBorder="1" applyAlignment="1">
      <alignment horizontal="left" indent="1"/>
    </xf>
    <xf numFmtId="0" fontId="7" fillId="0" borderId="0" xfId="52" applyFont="1" applyFill="1" applyBorder="1"/>
    <xf numFmtId="0" fontId="34" fillId="0" borderId="0" xfId="51" applyFont="1" applyFill="1"/>
    <xf numFmtId="0" fontId="7" fillId="0" borderId="16" xfId="51" applyFont="1" applyFill="1" applyBorder="1" applyAlignment="1">
      <alignment horizontal="right"/>
    </xf>
    <xf numFmtId="0" fontId="30" fillId="0" borderId="0" xfId="55" applyFont="1" applyFill="1"/>
    <xf numFmtId="0" fontId="30" fillId="0" borderId="0" xfId="55" applyFont="1" applyFill="1" applyAlignment="1">
      <alignment wrapText="1"/>
    </xf>
    <xf numFmtId="0" fontId="30" fillId="0" borderId="10" xfId="55" applyFont="1" applyFill="1" applyBorder="1"/>
    <xf numFmtId="0" fontId="30" fillId="0" borderId="0" xfId="51" applyFont="1" applyFill="1"/>
    <xf numFmtId="0" fontId="30" fillId="0" borderId="10" xfId="53" applyFont="1" applyFill="1" applyBorder="1"/>
    <xf numFmtId="0" fontId="30" fillId="0" borderId="0" xfId="53" applyFont="1" applyFill="1"/>
    <xf numFmtId="0" fontId="7" fillId="0" borderId="0" xfId="53" quotePrefix="1" applyFont="1" applyFill="1" applyAlignment="1">
      <alignment horizontal="left"/>
    </xf>
    <xf numFmtId="0" fontId="34" fillId="0" borderId="0" xfId="53" applyFont="1" applyFill="1"/>
    <xf numFmtId="0" fontId="30" fillId="0" borderId="0" xfId="53" applyFont="1" applyFill="1" applyBorder="1"/>
    <xf numFmtId="0" fontId="7" fillId="0" borderId="0" xfId="53" applyFont="1" applyFill="1"/>
    <xf numFmtId="0" fontId="5" fillId="0" borderId="0" xfId="55" applyFont="1" applyFill="1"/>
    <xf numFmtId="0" fontId="5" fillId="0" borderId="10" xfId="55" applyFont="1" applyFill="1" applyBorder="1"/>
    <xf numFmtId="0" fontId="7" fillId="0" borderId="0" xfId="53" applyFont="1" applyFill="1" applyAlignment="1">
      <alignment horizontal="left"/>
    </xf>
    <xf numFmtId="6" fontId="5" fillId="0" borderId="10" xfId="68" applyNumberFormat="1" applyFont="1" applyBorder="1" applyAlignment="1">
      <alignment horizontal="left"/>
    </xf>
    <xf numFmtId="0" fontId="5" fillId="0" borderId="0" xfId="51" applyFont="1" applyAlignment="1">
      <alignment wrapText="1"/>
    </xf>
    <xf numFmtId="0" fontId="5" fillId="0" borderId="0" xfId="0" applyFont="1" applyAlignment="1">
      <alignment horizontal="left" wrapText="1" indent="1"/>
    </xf>
    <xf numFmtId="0" fontId="7" fillId="0" borderId="0" xfId="0" applyFont="1" applyFill="1" applyAlignment="1">
      <alignment vertical="center"/>
    </xf>
    <xf numFmtId="0" fontId="5" fillId="0" borderId="11" xfId="0" applyFont="1" applyFill="1" applyBorder="1" applyAlignment="1"/>
    <xf numFmtId="0" fontId="5" fillId="0" borderId="11" xfId="0" applyFont="1" applyFill="1" applyBorder="1" applyAlignment="1">
      <alignment horizontal="right" wrapText="1"/>
    </xf>
    <xf numFmtId="0" fontId="5" fillId="0" borderId="0" xfId="0" applyFont="1" applyFill="1" applyAlignment="1">
      <alignment vertical="center"/>
    </xf>
    <xf numFmtId="0" fontId="33" fillId="0" borderId="0" xfId="0" applyFont="1" applyFill="1"/>
    <xf numFmtId="0" fontId="5" fillId="0" borderId="0" xfId="0" applyFont="1" applyFill="1" applyAlignment="1">
      <alignment vertical="center" wrapText="1"/>
    </xf>
    <xf numFmtId="0" fontId="5" fillId="0" borderId="10" xfId="0" applyFont="1" applyFill="1" applyBorder="1" applyAlignment="1">
      <alignment vertical="center" wrapText="1"/>
    </xf>
    <xf numFmtId="0" fontId="7" fillId="0" borderId="0" xfId="68" applyFont="1" applyFill="1"/>
    <xf numFmtId="6" fontId="5" fillId="0" borderId="0" xfId="68" applyNumberFormat="1" applyFont="1" applyFill="1" applyBorder="1" applyAlignment="1">
      <alignment horizontal="left"/>
    </xf>
    <xf numFmtId="0" fontId="7" fillId="0" borderId="0" xfId="0" applyFont="1" applyFill="1" applyAlignment="1">
      <alignment vertical="center" wrapText="1"/>
    </xf>
    <xf numFmtId="0" fontId="5" fillId="0" borderId="0" xfId="0" applyFont="1" applyFill="1" applyAlignment="1">
      <alignment horizontal="left" vertical="top" wrapText="1"/>
    </xf>
    <xf numFmtId="0" fontId="5" fillId="0" borderId="0" xfId="68" applyFont="1" applyFill="1" applyAlignment="1">
      <alignment wrapText="1"/>
    </xf>
    <xf numFmtId="0" fontId="5" fillId="0" borderId="10" xfId="0" applyFont="1" applyFill="1" applyBorder="1" applyAlignment="1">
      <alignment wrapText="1"/>
    </xf>
    <xf numFmtId="0" fontId="1" fillId="0" borderId="0" xfId="0" applyFont="1" applyFill="1" applyAlignment="1"/>
    <xf numFmtId="0" fontId="5" fillId="0" borderId="0" xfId="68" applyFont="1" applyFill="1" applyAlignment="1">
      <alignment horizontal="left" vertical="top" wrapText="1"/>
    </xf>
  </cellXfs>
  <cellStyles count="69">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Comma [0]_Sheet10" xfId="28"/>
    <cellStyle name="Comma_Sheet10" xfId="29"/>
    <cellStyle name="Currency [0]_Sheet10" xfId="30"/>
    <cellStyle name="Currency_Sheet10" xfId="31"/>
    <cellStyle name="Explanatory Text" xfId="32"/>
    <cellStyle name="Good" xfId="33"/>
    <cellStyle name="Heading 1" xfId="34"/>
    <cellStyle name="Heading 2" xfId="35"/>
    <cellStyle name="Heading 3" xfId="36"/>
    <cellStyle name="Heading 4" xfId="37"/>
    <cellStyle name="Input" xfId="38"/>
    <cellStyle name="Linked Cell" xfId="39"/>
    <cellStyle name="Neutral" xfId="40"/>
    <cellStyle name="Normaali" xfId="0" builtinId="0"/>
    <cellStyle name="Normaali 2" xfId="41"/>
    <cellStyle name="Normaali 2 2" xfId="42"/>
    <cellStyle name="Normaali 3" xfId="43"/>
    <cellStyle name="Normaali_1001 L&amp;T OYJ VUOSIKERTOMUS 2003" xfId="44"/>
    <cellStyle name="Normaali_1001 L&amp;T OYJ VUOSIKERTOMUS 2003_IAS1_laskelmat malli" xfId="45"/>
    <cellStyle name="Normaali_IFRS TASE" xfId="46"/>
    <cellStyle name="Normaali_IFRS- TULOSLASKELMA MALLIT" xfId="47"/>
    <cellStyle name="Normaali_IFRS- TULOSLASKELMA MALLIT_IAS1_laskelmat malli" xfId="48"/>
    <cellStyle name="Normaali_LTKASSAVIRTA2000" xfId="49"/>
    <cellStyle name="Normaali_LTKASSAVIRTA2000_IAS1_laskelmat malli" xfId="50"/>
    <cellStyle name="Normaali_MATLIIKEV" xfId="51"/>
    <cellStyle name="Normaali_OYJRAHLASKELMA" xfId="52"/>
    <cellStyle name="Normaali_PROFORMA092001" xfId="53"/>
    <cellStyle name="Normaali_PÖRSSI Q1 2006" xfId="54"/>
    <cellStyle name="Normaali_PÖRSSI Q1 2006 2" xfId="68"/>
    <cellStyle name="Normaali_pörssi062000" xfId="55"/>
    <cellStyle name="Normaali_rahlaskVUOSIKERT" xfId="56"/>
    <cellStyle name="Normaali_Tunnusluvut032000" xfId="57"/>
    <cellStyle name="Normaali_Tunnusluvut032000_IAS1_laskelmat malli" xfId="58"/>
    <cellStyle name="Normaali_Verot" xfId="59"/>
    <cellStyle name="Normal_Sheet10" xfId="60"/>
    <cellStyle name="Note" xfId="61"/>
    <cellStyle name="Note 2" xfId="62"/>
    <cellStyle name="Output" xfId="63"/>
    <cellStyle name="Prosenttia" xfId="64" builtinId="5"/>
    <cellStyle name="Title" xfId="65"/>
    <cellStyle name="Total" xfId="66"/>
    <cellStyle name="Warning Text" xfId="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
    <pageSetUpPr fitToPage="1"/>
  </sheetPr>
  <dimension ref="A1:M39"/>
  <sheetViews>
    <sheetView tabSelected="1" zoomScaleNormal="100" workbookViewId="0"/>
  </sheetViews>
  <sheetFormatPr defaultRowHeight="12.75" x14ac:dyDescent="0.2"/>
  <cols>
    <col min="1" max="1" width="40" style="2" customWidth="1"/>
    <col min="2" max="8" width="10.140625" style="2" customWidth="1"/>
    <col min="9" max="9" width="9.140625" style="2"/>
    <col min="10" max="10" width="13.5703125" style="2" bestFit="1" customWidth="1"/>
    <col min="11" max="11" width="26" style="2" customWidth="1"/>
    <col min="12" max="16384" width="9.140625" style="2"/>
  </cols>
  <sheetData>
    <row r="1" spans="1:13" x14ac:dyDescent="0.2">
      <c r="A1" s="128" t="s">
        <v>4</v>
      </c>
      <c r="B1" s="128"/>
      <c r="C1" s="128"/>
      <c r="D1" s="128"/>
      <c r="E1" s="128"/>
      <c r="F1" s="128"/>
      <c r="G1" s="128"/>
      <c r="H1" s="128"/>
    </row>
    <row r="3" spans="1:13" ht="15.75" x14ac:dyDescent="0.25">
      <c r="A3" s="173" t="s">
        <v>37</v>
      </c>
      <c r="B3" s="1"/>
      <c r="C3" s="304"/>
      <c r="D3" s="1"/>
      <c r="E3" s="1"/>
      <c r="F3" s="1"/>
      <c r="G3" s="1"/>
      <c r="H3" s="1"/>
    </row>
    <row r="4" spans="1:13" x14ac:dyDescent="0.2">
      <c r="A4" s="4"/>
      <c r="B4" s="251"/>
      <c r="C4" s="251"/>
      <c r="D4" s="251"/>
      <c r="E4" s="251"/>
      <c r="F4" s="251"/>
      <c r="G4" s="251"/>
      <c r="H4" s="251"/>
    </row>
    <row r="5" spans="1:13" x14ac:dyDescent="0.2">
      <c r="A5" s="363" t="s">
        <v>38</v>
      </c>
      <c r="B5" s="115" t="s">
        <v>31</v>
      </c>
      <c r="C5" s="115" t="s">
        <v>24</v>
      </c>
      <c r="D5" s="115" t="s">
        <v>36</v>
      </c>
      <c r="E5" s="115" t="s">
        <v>32</v>
      </c>
      <c r="F5" s="115" t="s">
        <v>33</v>
      </c>
      <c r="G5" s="115" t="s">
        <v>36</v>
      </c>
      <c r="H5" s="115" t="s">
        <v>26</v>
      </c>
    </row>
    <row r="6" spans="1:13" x14ac:dyDescent="0.2">
      <c r="B6" s="65"/>
      <c r="C6" s="65"/>
      <c r="D6" s="65"/>
      <c r="E6" s="65"/>
      <c r="F6" s="65"/>
      <c r="G6" s="65"/>
      <c r="H6" s="65"/>
    </row>
    <row r="7" spans="1:13" s="63" customFormat="1" x14ac:dyDescent="0.2">
      <c r="A7" s="71" t="s">
        <v>39</v>
      </c>
      <c r="B7" s="108">
        <f>+E7-336603</f>
        <v>161909</v>
      </c>
      <c r="C7" s="108">
        <v>161216</v>
      </c>
      <c r="D7" s="240">
        <f>(B7-C7)/C7*100</f>
        <v>0.42985807860262004</v>
      </c>
      <c r="E7" s="108">
        <f>498510+2</f>
        <v>498512</v>
      </c>
      <c r="F7" s="108">
        <v>502194</v>
      </c>
      <c r="G7" s="240">
        <f>(E7-F7)/F7*100</f>
        <v>-0.73318279390036523</v>
      </c>
      <c r="H7" s="108">
        <v>673985</v>
      </c>
      <c r="J7" s="60"/>
      <c r="K7" s="72"/>
      <c r="L7" s="73"/>
      <c r="M7" s="65"/>
    </row>
    <row r="8" spans="1:13" s="63" customFormat="1" x14ac:dyDescent="0.2">
      <c r="D8" s="240"/>
      <c r="E8" s="116"/>
      <c r="F8" s="116"/>
      <c r="G8" s="240"/>
      <c r="H8" s="116"/>
      <c r="K8" s="74"/>
      <c r="L8" s="75"/>
      <c r="M8" s="65"/>
    </row>
    <row r="9" spans="1:13" s="63" customFormat="1" x14ac:dyDescent="0.2">
      <c r="A9" s="76" t="s">
        <v>40</v>
      </c>
      <c r="B9" s="61">
        <f>+E9--303855</f>
        <v>-136298</v>
      </c>
      <c r="C9" s="61">
        <v>-135695</v>
      </c>
      <c r="D9" s="242">
        <f>(B9-C9)/C9*100</f>
        <v>0.44437893805961903</v>
      </c>
      <c r="E9" s="61">
        <v>-440153</v>
      </c>
      <c r="F9" s="61">
        <v>-446705</v>
      </c>
      <c r="G9" s="242">
        <f>(E9-F9)/F9*100</f>
        <v>-1.4667397947191099</v>
      </c>
      <c r="H9" s="61">
        <v>-602581</v>
      </c>
      <c r="K9" s="77"/>
      <c r="L9" s="78"/>
      <c r="M9" s="65"/>
    </row>
    <row r="10" spans="1:13" s="63" customFormat="1" x14ac:dyDescent="0.2">
      <c r="D10" s="240"/>
      <c r="E10" s="116"/>
      <c r="F10" s="116"/>
      <c r="G10" s="240"/>
      <c r="H10" s="116"/>
      <c r="K10" s="79"/>
      <c r="L10" s="80"/>
      <c r="M10" s="65"/>
    </row>
    <row r="11" spans="1:13" s="63" customFormat="1" x14ac:dyDescent="0.2">
      <c r="A11" s="71" t="s">
        <v>41</v>
      </c>
      <c r="B11" s="108">
        <f>SUM(B7:B10)</f>
        <v>25611</v>
      </c>
      <c r="C11" s="108">
        <f>SUM(C7:C10)</f>
        <v>25521</v>
      </c>
      <c r="D11" s="240">
        <f>(B11-C11)/C11*100</f>
        <v>0.35265075819913017</v>
      </c>
      <c r="E11" s="268">
        <f>SUM(E7:E10)</f>
        <v>58359</v>
      </c>
      <c r="F11" s="268">
        <f>SUM(F7:F10)</f>
        <v>55489</v>
      </c>
      <c r="G11" s="240">
        <f>(E11-F11)/F11*100</f>
        <v>5.1721962911568058</v>
      </c>
      <c r="H11" s="268">
        <f>SUM(H7:H10)</f>
        <v>71404</v>
      </c>
      <c r="I11" s="60"/>
      <c r="K11" s="77"/>
      <c r="L11" s="78"/>
      <c r="M11" s="65"/>
    </row>
    <row r="12" spans="1:13" s="63" customFormat="1" x14ac:dyDescent="0.2">
      <c r="D12" s="240"/>
      <c r="E12" s="116"/>
      <c r="F12" s="116"/>
      <c r="G12" s="240"/>
      <c r="H12" s="116"/>
      <c r="K12" s="77"/>
      <c r="L12" s="78"/>
      <c r="M12" s="65"/>
    </row>
    <row r="13" spans="1:13" s="63" customFormat="1" x14ac:dyDescent="0.2">
      <c r="A13" s="81" t="s">
        <v>42</v>
      </c>
      <c r="B13" s="116">
        <f>+E13-1746</f>
        <v>1206</v>
      </c>
      <c r="C13" s="116">
        <v>614</v>
      </c>
      <c r="D13" s="243">
        <f>(B13-C13)/C13*100</f>
        <v>96.416938110749186</v>
      </c>
      <c r="E13" s="116">
        <v>2952</v>
      </c>
      <c r="F13" s="116">
        <v>6173</v>
      </c>
      <c r="G13" s="243">
        <f>(E13-F13)/F13*100</f>
        <v>-52.178843350072903</v>
      </c>
      <c r="H13" s="116">
        <v>7708</v>
      </c>
      <c r="K13" s="79"/>
      <c r="L13" s="80"/>
      <c r="M13" s="65"/>
    </row>
    <row r="14" spans="1:13" s="63" customFormat="1" x14ac:dyDescent="0.2">
      <c r="A14" s="364" t="s">
        <v>43</v>
      </c>
      <c r="B14" s="116">
        <f>+E14--7404</f>
        <v>-3130</v>
      </c>
      <c r="C14" s="116">
        <v>-3380</v>
      </c>
      <c r="D14" s="243">
        <f>(B14-C14)/C14*100</f>
        <v>-7.3964497041420119</v>
      </c>
      <c r="E14" s="116">
        <v>-10534</v>
      </c>
      <c r="F14" s="116">
        <v>-12416</v>
      </c>
      <c r="G14" s="243">
        <f>(E14-F14)/F14*100</f>
        <v>-15.157860824742267</v>
      </c>
      <c r="H14" s="116">
        <v>-16745</v>
      </c>
      <c r="K14" s="79"/>
      <c r="L14" s="80"/>
      <c r="M14" s="65"/>
    </row>
    <row r="15" spans="1:13" s="63" customFormat="1" x14ac:dyDescent="0.2">
      <c r="A15" s="79" t="s">
        <v>44</v>
      </c>
      <c r="B15" s="116">
        <f>+E15--6237</f>
        <v>-3048</v>
      </c>
      <c r="C15" s="116">
        <v>-2747</v>
      </c>
      <c r="D15" s="243">
        <f>(B15-C15)/C15*100</f>
        <v>10.957408081543502</v>
      </c>
      <c r="E15" s="116">
        <v>-9285</v>
      </c>
      <c r="F15" s="116">
        <v>-9163</v>
      </c>
      <c r="G15" s="243">
        <f>(E15-F15)/F15*100</f>
        <v>1.3314416675761214</v>
      </c>
      <c r="H15" s="116">
        <v>-12090</v>
      </c>
      <c r="J15" s="174"/>
      <c r="K15" s="74"/>
      <c r="L15" s="80"/>
      <c r="M15" s="65"/>
    </row>
    <row r="16" spans="1:13" s="63" customFormat="1" x14ac:dyDescent="0.2">
      <c r="A16" s="82" t="s">
        <v>45</v>
      </c>
      <c r="B16" s="118">
        <f>+E16--6074-5027</f>
        <v>-620</v>
      </c>
      <c r="C16" s="118">
        <v>-379</v>
      </c>
      <c r="D16" s="243">
        <f>(B16-C16)/C16*100</f>
        <v>63.58839050131926</v>
      </c>
      <c r="E16" s="118">
        <f>-6694+5027</f>
        <v>-1667</v>
      </c>
      <c r="F16" s="118">
        <v>-1075</v>
      </c>
      <c r="G16" s="243">
        <f>(E16-F16)/F16*100</f>
        <v>55.069767441860463</v>
      </c>
      <c r="H16" s="118">
        <v>-1584</v>
      </c>
      <c r="J16" s="281"/>
      <c r="K16" s="77"/>
      <c r="L16" s="78"/>
      <c r="M16" s="65"/>
    </row>
    <row r="17" spans="1:13" s="63" customFormat="1" x14ac:dyDescent="0.2">
      <c r="A17" s="82" t="s">
        <v>46</v>
      </c>
      <c r="B17" s="118">
        <f>+E17+5027</f>
        <v>0</v>
      </c>
      <c r="C17" s="118"/>
      <c r="D17" s="243"/>
      <c r="E17" s="118">
        <v>-5027</v>
      </c>
      <c r="F17" s="118">
        <v>-302</v>
      </c>
      <c r="G17" s="243">
        <f>(E17-F17)/F17*100</f>
        <v>1564.5695364238411</v>
      </c>
      <c r="H17" s="118">
        <v>-302</v>
      </c>
      <c r="J17" s="281"/>
      <c r="K17" s="77"/>
      <c r="L17" s="78"/>
      <c r="M17" s="65"/>
    </row>
    <row r="18" spans="1:13" s="63" customFormat="1" x14ac:dyDescent="0.2">
      <c r="A18" s="76" t="s">
        <v>47</v>
      </c>
      <c r="B18" s="117"/>
      <c r="C18" s="117"/>
      <c r="D18" s="241"/>
      <c r="E18" s="117"/>
      <c r="F18" s="117"/>
      <c r="G18" s="241"/>
      <c r="H18" s="117"/>
      <c r="J18" s="60"/>
      <c r="K18" s="77"/>
      <c r="L18" s="78"/>
      <c r="M18" s="65"/>
    </row>
    <row r="19" spans="1:13" s="63" customFormat="1" x14ac:dyDescent="0.2">
      <c r="A19" s="82"/>
      <c r="D19" s="240"/>
      <c r="E19" s="118"/>
      <c r="F19" s="118"/>
      <c r="G19" s="240"/>
      <c r="H19" s="118"/>
      <c r="K19" s="77"/>
      <c r="L19" s="78"/>
      <c r="M19" s="65"/>
    </row>
    <row r="20" spans="1:13" s="63" customFormat="1" x14ac:dyDescent="0.2">
      <c r="A20" s="83" t="s">
        <v>48</v>
      </c>
      <c r="B20" s="119">
        <f>SUM(B11:B18)</f>
        <v>20019</v>
      </c>
      <c r="C20" s="119">
        <f>SUM(C11:C18)</f>
        <v>19629</v>
      </c>
      <c r="D20" s="240">
        <f>(B20-C20)/C20*100</f>
        <v>1.9868561821794286</v>
      </c>
      <c r="E20" s="119">
        <f>SUM(E11:E17)</f>
        <v>34798</v>
      </c>
      <c r="F20" s="119">
        <f>SUM(F11:F17)</f>
        <v>38706</v>
      </c>
      <c r="G20" s="240">
        <f>(E20-F20)/F20*100</f>
        <v>-10.096625846122048</v>
      </c>
      <c r="H20" s="119">
        <f>SUM(H11:H18)</f>
        <v>48391</v>
      </c>
      <c r="J20" s="60"/>
      <c r="K20" s="79"/>
      <c r="L20" s="80"/>
      <c r="M20" s="65" t="s">
        <v>22</v>
      </c>
    </row>
    <row r="21" spans="1:13" x14ac:dyDescent="0.2">
      <c r="A21" s="83"/>
      <c r="B21" s="63"/>
      <c r="D21" s="240"/>
      <c r="E21" s="283"/>
      <c r="F21" s="283"/>
      <c r="G21" s="240"/>
      <c r="H21" s="118"/>
      <c r="K21" s="56"/>
      <c r="L21" s="51"/>
      <c r="M21" s="12"/>
    </row>
    <row r="22" spans="1:13" x14ac:dyDescent="0.2">
      <c r="A22" s="79" t="s">
        <v>49</v>
      </c>
      <c r="B22" s="118">
        <f>+E22-231</f>
        <v>102</v>
      </c>
      <c r="C22" s="118">
        <v>255</v>
      </c>
      <c r="D22" s="243">
        <f>(B22-C22)/C22*100</f>
        <v>-60</v>
      </c>
      <c r="E22" s="283">
        <v>333</v>
      </c>
      <c r="F22" s="283">
        <v>758</v>
      </c>
      <c r="G22" s="243">
        <f>(E22-F22)/F22*100</f>
        <v>-56.068601583113455</v>
      </c>
      <c r="H22" s="118">
        <v>860</v>
      </c>
      <c r="J22" s="5"/>
      <c r="K22" s="53"/>
      <c r="L22" s="53"/>
      <c r="M22" s="12"/>
    </row>
    <row r="23" spans="1:13" x14ac:dyDescent="0.2">
      <c r="A23" s="365" t="s">
        <v>50</v>
      </c>
      <c r="B23" s="117">
        <f>+E23--1229</f>
        <v>-1234</v>
      </c>
      <c r="C23" s="117">
        <v>-823</v>
      </c>
      <c r="D23" s="242">
        <f>(B23-C23)/C23*100</f>
        <v>49.939246658566219</v>
      </c>
      <c r="E23" s="284">
        <v>-2463</v>
      </c>
      <c r="F23" s="284">
        <v>-5642</v>
      </c>
      <c r="G23" s="242">
        <f>(E23-F23)/F23*100</f>
        <v>-56.345267635590211</v>
      </c>
      <c r="H23" s="117">
        <v>-6256</v>
      </c>
      <c r="I23" s="5"/>
      <c r="J23" s="305"/>
      <c r="K23" s="213"/>
      <c r="L23" s="52"/>
      <c r="M23" s="12"/>
    </row>
    <row r="24" spans="1:13" x14ac:dyDescent="0.2">
      <c r="A24" s="63"/>
      <c r="B24" s="63"/>
      <c r="D24" s="240"/>
      <c r="E24" s="283"/>
      <c r="F24" s="283"/>
      <c r="G24" s="240"/>
      <c r="H24" s="118"/>
      <c r="J24" s="5"/>
      <c r="K24" s="252"/>
      <c r="L24" s="51"/>
      <c r="M24" s="12"/>
    </row>
    <row r="25" spans="1:13" x14ac:dyDescent="0.2">
      <c r="A25" s="366" t="s">
        <v>51</v>
      </c>
      <c r="B25" s="171">
        <f>SUM(B20:B23)</f>
        <v>18887</v>
      </c>
      <c r="C25" s="171">
        <f>SUM(C20:C23)</f>
        <v>19061</v>
      </c>
      <c r="D25" s="240">
        <f>(B25-C25)/C25*100</f>
        <v>-0.912858716751482</v>
      </c>
      <c r="E25" s="285">
        <f>SUM(E20:E23)</f>
        <v>32668</v>
      </c>
      <c r="F25" s="285">
        <f>SUM(F20:F23)</f>
        <v>33822</v>
      </c>
      <c r="G25" s="240">
        <f>(E25-F25)/F25*100</f>
        <v>-3.4119803678079355</v>
      </c>
      <c r="H25" s="269">
        <f>SUM(H20:H23)</f>
        <v>42995</v>
      </c>
      <c r="J25" s="5"/>
      <c r="K25" s="57"/>
      <c r="L25" s="52"/>
      <c r="M25" s="12"/>
    </row>
    <row r="26" spans="1:13" x14ac:dyDescent="0.2">
      <c r="A26" s="367"/>
      <c r="B26" s="63"/>
      <c r="D26" s="240"/>
      <c r="E26" s="286"/>
      <c r="F26" s="286"/>
      <c r="G26" s="240"/>
      <c r="H26" s="270"/>
      <c r="K26" s="58"/>
      <c r="L26" s="52"/>
      <c r="M26" s="12"/>
    </row>
    <row r="27" spans="1:13" x14ac:dyDescent="0.2">
      <c r="A27" s="76" t="s">
        <v>52</v>
      </c>
      <c r="B27" s="117">
        <f>+E27--3850</f>
        <v>-5297</v>
      </c>
      <c r="C27" s="117">
        <v>-3770</v>
      </c>
      <c r="D27" s="242">
        <f>(B27-C27)/C27*100</f>
        <v>40.50397877984085</v>
      </c>
      <c r="E27" s="284">
        <v>-9147</v>
      </c>
      <c r="F27" s="284">
        <v>-6426</v>
      </c>
      <c r="G27" s="242">
        <f>(E27-F27)/F27*100</f>
        <v>42.343604108309989</v>
      </c>
      <c r="H27" s="117">
        <v>-8543</v>
      </c>
      <c r="J27" s="5"/>
      <c r="K27" s="8"/>
      <c r="L27" s="54"/>
      <c r="M27" s="12"/>
    </row>
    <row r="28" spans="1:13" x14ac:dyDescent="0.2">
      <c r="A28" s="63"/>
      <c r="B28" s="170"/>
      <c r="C28" s="170"/>
      <c r="D28" s="240"/>
      <c r="E28" s="287"/>
      <c r="F28" s="287"/>
      <c r="G28" s="240"/>
      <c r="H28" s="116"/>
      <c r="K28" s="7"/>
      <c r="L28" s="54"/>
      <c r="M28" s="12"/>
    </row>
    <row r="29" spans="1:13" x14ac:dyDescent="0.2">
      <c r="A29" s="368" t="s">
        <v>53</v>
      </c>
      <c r="B29" s="108">
        <f>SUM(B25:B28)</f>
        <v>13590</v>
      </c>
      <c r="C29" s="108">
        <f>SUM(C25:C28)</f>
        <v>15291</v>
      </c>
      <c r="D29" s="240">
        <f>(B29-C29)/C29*100</f>
        <v>-11.124190700412006</v>
      </c>
      <c r="E29" s="288">
        <f>SUM(E25:E27)</f>
        <v>23521</v>
      </c>
      <c r="F29" s="288">
        <f>SUM(F25:F27)</f>
        <v>27396</v>
      </c>
      <c r="G29" s="240">
        <f>(E29-F29)/F29*100</f>
        <v>-14.144400642429552</v>
      </c>
      <c r="H29" s="119">
        <f>SUM(H25:H27)</f>
        <v>34452</v>
      </c>
      <c r="I29" s="5"/>
      <c r="J29" s="5"/>
      <c r="K29" s="296"/>
      <c r="L29" s="54"/>
      <c r="M29" s="12"/>
    </row>
    <row r="30" spans="1:13" x14ac:dyDescent="0.2">
      <c r="A30" s="81"/>
      <c r="B30" s="170"/>
      <c r="C30" s="170"/>
      <c r="D30" s="240"/>
      <c r="E30" s="116"/>
      <c r="F30" s="116"/>
      <c r="G30" s="240"/>
      <c r="H30" s="116"/>
      <c r="K30" s="59"/>
      <c r="L30" s="53"/>
      <c r="M30" s="12"/>
    </row>
    <row r="31" spans="1:13" x14ac:dyDescent="0.2">
      <c r="A31" s="369" t="s">
        <v>54</v>
      </c>
      <c r="B31" s="63"/>
      <c r="D31" s="240"/>
      <c r="E31" s="116"/>
      <c r="F31" s="116"/>
      <c r="G31" s="240"/>
      <c r="H31" s="116"/>
      <c r="K31" s="12"/>
      <c r="L31" s="55"/>
      <c r="M31" s="12"/>
    </row>
    <row r="32" spans="1:13" x14ac:dyDescent="0.2">
      <c r="A32" s="81" t="s">
        <v>55</v>
      </c>
      <c r="B32" s="116">
        <f>B29-B33</f>
        <v>13589</v>
      </c>
      <c r="C32" s="116">
        <f>C29-C33</f>
        <v>15293</v>
      </c>
      <c r="D32" s="116"/>
      <c r="E32" s="116">
        <f>E29-E33</f>
        <v>23524</v>
      </c>
      <c r="F32" s="116">
        <f>F29-F33</f>
        <v>27404</v>
      </c>
      <c r="G32" s="116"/>
      <c r="H32" s="116">
        <f>H29-H33</f>
        <v>34459</v>
      </c>
      <c r="J32" s="5"/>
      <c r="K32" s="12"/>
      <c r="L32" s="55"/>
      <c r="M32" s="12"/>
    </row>
    <row r="33" spans="1:13" x14ac:dyDescent="0.2">
      <c r="A33" s="63" t="s">
        <v>56</v>
      </c>
      <c r="B33" s="116">
        <f>+E33--4</f>
        <v>1</v>
      </c>
      <c r="C33" s="116">
        <v>-2</v>
      </c>
      <c r="D33" s="116"/>
      <c r="E33" s="116">
        <v>-3</v>
      </c>
      <c r="F33" s="116">
        <v>-8</v>
      </c>
      <c r="G33" s="116"/>
      <c r="H33" s="116">
        <v>-7</v>
      </c>
      <c r="K33" s="12"/>
      <c r="L33" s="12"/>
      <c r="M33" s="12"/>
    </row>
    <row r="34" spans="1:13" x14ac:dyDescent="0.2">
      <c r="A34" s="81"/>
      <c r="B34" s="172"/>
      <c r="C34" s="172"/>
      <c r="D34" s="172"/>
      <c r="E34" s="219"/>
      <c r="F34" s="219"/>
      <c r="G34" s="172"/>
      <c r="H34" s="219"/>
    </row>
    <row r="35" spans="1:13" ht="25.5" x14ac:dyDescent="0.2">
      <c r="A35" s="370" t="s">
        <v>57</v>
      </c>
      <c r="B35" s="63"/>
      <c r="C35" s="63"/>
      <c r="D35" s="63"/>
      <c r="E35" s="116"/>
      <c r="F35" s="116"/>
      <c r="G35" s="63"/>
      <c r="H35" s="116"/>
    </row>
    <row r="36" spans="1:13" x14ac:dyDescent="0.2">
      <c r="A36" s="63" t="s">
        <v>58</v>
      </c>
      <c r="B36" s="120">
        <f>+E36-0.26</f>
        <v>0.35</v>
      </c>
      <c r="C36" s="120">
        <v>0.4</v>
      </c>
      <c r="D36" s="120"/>
      <c r="E36" s="271">
        <v>0.61</v>
      </c>
      <c r="F36" s="271">
        <v>0.71</v>
      </c>
      <c r="G36" s="120"/>
      <c r="H36" s="271">
        <v>0.89</v>
      </c>
    </row>
    <row r="37" spans="1:13" x14ac:dyDescent="0.2">
      <c r="A37" s="63" t="s">
        <v>59</v>
      </c>
      <c r="B37" s="120">
        <f>+E37-0.26</f>
        <v>0.35</v>
      </c>
      <c r="C37" s="120">
        <v>0.4</v>
      </c>
      <c r="D37" s="120"/>
      <c r="E37" s="272">
        <v>0.61</v>
      </c>
      <c r="F37" s="272">
        <v>0.71</v>
      </c>
      <c r="G37" s="120"/>
      <c r="H37" s="272">
        <v>0.89</v>
      </c>
    </row>
    <row r="38" spans="1:13" x14ac:dyDescent="0.2">
      <c r="B38" s="63"/>
      <c r="C38" s="63"/>
      <c r="D38" s="63"/>
      <c r="E38" s="63"/>
      <c r="F38" s="63"/>
      <c r="G38" s="63"/>
      <c r="H38" s="63"/>
    </row>
    <row r="39" spans="1:13" x14ac:dyDescent="0.2">
      <c r="B39" s="63"/>
      <c r="C39" s="63"/>
      <c r="D39" s="63"/>
      <c r="E39" s="63"/>
      <c r="F39" s="63"/>
      <c r="G39" s="63"/>
      <c r="H39" s="63"/>
    </row>
  </sheetData>
  <phoneticPr fontId="3" type="noConversion"/>
  <pageMargins left="0.99" right="0.27" top="0.98425196850393704" bottom="0" header="0.79" footer="0.4921259845"/>
  <pageSetup paperSize="9" scale="68" fitToHeight="7"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1"/>
  <dimension ref="A1:K41"/>
  <sheetViews>
    <sheetView zoomScaleNormal="100" workbookViewId="0"/>
  </sheetViews>
  <sheetFormatPr defaultRowHeight="12.75" x14ac:dyDescent="0.2"/>
  <cols>
    <col min="1" max="1" width="38.85546875" style="200" customWidth="1"/>
    <col min="2" max="3" width="9.140625" style="200"/>
    <col min="4" max="5" width="10.5703125" style="200" customWidth="1"/>
    <col min="6" max="16384" width="9.140625" style="200"/>
  </cols>
  <sheetData>
    <row r="1" spans="1:6" x14ac:dyDescent="0.2">
      <c r="A1" s="23" t="s">
        <v>5</v>
      </c>
      <c r="D1" s="23"/>
    </row>
    <row r="2" spans="1:6" x14ac:dyDescent="0.2">
      <c r="A2" s="26"/>
      <c r="C2" s="304"/>
      <c r="D2" s="27"/>
    </row>
    <row r="3" spans="1:6" x14ac:dyDescent="0.2">
      <c r="A3" s="26" t="s">
        <v>230</v>
      </c>
      <c r="D3" s="27"/>
    </row>
    <row r="4" spans="1:6" x14ac:dyDescent="0.2">
      <c r="A4" s="27"/>
      <c r="D4" s="122"/>
      <c r="E4" s="199"/>
    </row>
    <row r="5" spans="1:6" x14ac:dyDescent="0.2">
      <c r="A5" s="421" t="s">
        <v>38</v>
      </c>
      <c r="B5" s="84" t="s">
        <v>32</v>
      </c>
      <c r="C5" s="84" t="s">
        <v>33</v>
      </c>
      <c r="D5" s="84" t="s">
        <v>26</v>
      </c>
      <c r="E5" s="114"/>
    </row>
    <row r="6" spans="1:6" x14ac:dyDescent="0.2">
      <c r="A6" s="27"/>
      <c r="B6" s="85"/>
      <c r="C6" s="85"/>
      <c r="D6" s="85"/>
      <c r="E6" s="104"/>
    </row>
    <row r="7" spans="1:6" x14ac:dyDescent="0.2">
      <c r="A7" s="30" t="s">
        <v>231</v>
      </c>
      <c r="B7" s="45">
        <v>138430</v>
      </c>
      <c r="C7" s="45">
        <v>144489</v>
      </c>
      <c r="D7" s="45">
        <v>144489</v>
      </c>
      <c r="E7" s="103"/>
    </row>
    <row r="8" spans="1:6" x14ac:dyDescent="0.2">
      <c r="A8" s="30" t="s">
        <v>232</v>
      </c>
      <c r="B8" s="45"/>
      <c r="C8" s="45">
        <v>433</v>
      </c>
      <c r="D8" s="45">
        <v>1110</v>
      </c>
      <c r="E8" s="103"/>
    </row>
    <row r="9" spans="1:6" x14ac:dyDescent="0.2">
      <c r="A9" s="30" t="s">
        <v>233</v>
      </c>
      <c r="B9" s="45">
        <v>1853</v>
      </c>
      <c r="C9" s="45">
        <v>1556</v>
      </c>
      <c r="D9" s="45">
        <v>2322</v>
      </c>
      <c r="E9" s="103"/>
    </row>
    <row r="10" spans="1:6" x14ac:dyDescent="0.2">
      <c r="A10" s="30" t="s">
        <v>234</v>
      </c>
      <c r="B10" s="45"/>
      <c r="C10" s="45">
        <v>-1685</v>
      </c>
      <c r="D10" s="45">
        <v>-1957</v>
      </c>
      <c r="E10" s="103"/>
    </row>
    <row r="11" spans="1:6" x14ac:dyDescent="0.2">
      <c r="A11" s="30" t="s">
        <v>235</v>
      </c>
      <c r="B11" s="45">
        <v>-5283</v>
      </c>
      <c r="C11" s="45">
        <v>-6193</v>
      </c>
      <c r="D11" s="45">
        <v>-8023</v>
      </c>
      <c r="E11" s="103"/>
    </row>
    <row r="12" spans="1:6" x14ac:dyDescent="0.2">
      <c r="A12" s="30" t="s">
        <v>236</v>
      </c>
      <c r="B12" s="45"/>
      <c r="C12" s="45"/>
      <c r="D12" s="45"/>
      <c r="E12" s="103"/>
    </row>
    <row r="13" spans="1:6" x14ac:dyDescent="0.2">
      <c r="A13" s="33" t="s">
        <v>237</v>
      </c>
      <c r="B13" s="46">
        <f>-155-329</f>
        <v>-484</v>
      </c>
      <c r="C13" s="46">
        <v>686</v>
      </c>
      <c r="D13" s="46">
        <v>489</v>
      </c>
      <c r="E13" s="103"/>
    </row>
    <row r="14" spans="1:6" x14ac:dyDescent="0.2">
      <c r="A14" s="27" t="s">
        <v>238</v>
      </c>
      <c r="B14" s="45">
        <f>SUM(B7:B13)</f>
        <v>134516</v>
      </c>
      <c r="C14" s="45">
        <f>SUM(C7:C13)</f>
        <v>139286</v>
      </c>
      <c r="D14" s="45">
        <f>SUM(D7:D13)</f>
        <v>138430</v>
      </c>
      <c r="E14" s="103"/>
      <c r="F14" s="282"/>
    </row>
    <row r="15" spans="1:6" x14ac:dyDescent="0.2">
      <c r="A15" s="85"/>
      <c r="B15" s="45"/>
      <c r="C15" s="45"/>
      <c r="D15" s="45"/>
      <c r="E15" s="266"/>
    </row>
    <row r="16" spans="1:6" x14ac:dyDescent="0.2">
      <c r="A16" s="26" t="s">
        <v>239</v>
      </c>
      <c r="B16" s="199"/>
      <c r="C16" s="199"/>
      <c r="D16" s="199"/>
      <c r="E16" s="199"/>
    </row>
    <row r="17" spans="1:11" x14ac:dyDescent="0.2">
      <c r="A17" s="85"/>
      <c r="B17" s="122"/>
      <c r="C17" s="122"/>
      <c r="D17" s="122"/>
      <c r="E17" s="199"/>
    </row>
    <row r="18" spans="1:11" x14ac:dyDescent="0.2">
      <c r="A18" s="421" t="s">
        <v>38</v>
      </c>
      <c r="B18" s="84" t="str">
        <f>+B5</f>
        <v>1-9/2013</v>
      </c>
      <c r="C18" s="84" t="str">
        <f>+C5</f>
        <v>1-9/2012</v>
      </c>
      <c r="D18" s="84" t="str">
        <f>+D5</f>
        <v>1-12/2012</v>
      </c>
      <c r="E18" s="114"/>
    </row>
    <row r="19" spans="1:11" x14ac:dyDescent="0.2">
      <c r="A19" s="27"/>
      <c r="B19" s="85"/>
      <c r="C19" s="85"/>
      <c r="D19" s="85"/>
      <c r="E19" s="104"/>
    </row>
    <row r="20" spans="1:11" x14ac:dyDescent="0.2">
      <c r="A20" s="30" t="s">
        <v>231</v>
      </c>
      <c r="B20" s="45">
        <v>180159</v>
      </c>
      <c r="C20" s="45">
        <v>207522</v>
      </c>
      <c r="D20" s="45">
        <v>207522</v>
      </c>
      <c r="E20" s="103"/>
      <c r="I20" s="282"/>
    </row>
    <row r="21" spans="1:11" x14ac:dyDescent="0.2">
      <c r="A21" s="30" t="s">
        <v>232</v>
      </c>
      <c r="B21" s="45"/>
      <c r="C21" s="45">
        <v>515</v>
      </c>
      <c r="D21" s="45">
        <v>2438</v>
      </c>
      <c r="E21" s="103"/>
    </row>
    <row r="22" spans="1:11" x14ac:dyDescent="0.2">
      <c r="A22" s="30" t="s">
        <v>233</v>
      </c>
      <c r="B22" s="45">
        <v>19870</v>
      </c>
      <c r="C22" s="45">
        <v>27056</v>
      </c>
      <c r="D22" s="45">
        <v>36810</v>
      </c>
      <c r="E22" s="103"/>
    </row>
    <row r="23" spans="1:11" x14ac:dyDescent="0.2">
      <c r="A23" s="30" t="s">
        <v>234</v>
      </c>
      <c r="B23" s="45">
        <v>-688</v>
      </c>
      <c r="C23" s="45">
        <v>-30078</v>
      </c>
      <c r="D23" s="45">
        <v>-31258</v>
      </c>
      <c r="E23" s="103"/>
    </row>
    <row r="24" spans="1:11" x14ac:dyDescent="0.2">
      <c r="A24" s="30" t="s">
        <v>240</v>
      </c>
      <c r="B24" s="45">
        <f>-26234-1</f>
        <v>-26235</v>
      </c>
      <c r="C24" s="45">
        <v>-26687</v>
      </c>
      <c r="D24" s="45">
        <v>-35619</v>
      </c>
      <c r="E24" s="103"/>
      <c r="F24" s="282"/>
    </row>
    <row r="25" spans="1:11" x14ac:dyDescent="0.2">
      <c r="A25" s="30" t="s">
        <v>236</v>
      </c>
      <c r="B25" s="45"/>
      <c r="C25" s="45"/>
      <c r="D25" s="45"/>
      <c r="E25" s="103"/>
      <c r="K25" s="200" t="s">
        <v>22</v>
      </c>
    </row>
    <row r="26" spans="1:11" x14ac:dyDescent="0.2">
      <c r="A26" s="33" t="s">
        <v>237</v>
      </c>
      <c r="B26" s="46">
        <v>-224</v>
      </c>
      <c r="C26" s="46">
        <v>324</v>
      </c>
      <c r="D26" s="46">
        <v>266</v>
      </c>
      <c r="E26" s="103"/>
      <c r="F26" s="282"/>
    </row>
    <row r="27" spans="1:11" x14ac:dyDescent="0.2">
      <c r="A27" s="27" t="s">
        <v>238</v>
      </c>
      <c r="B27" s="45">
        <f>SUM(B20:B26)</f>
        <v>172882</v>
      </c>
      <c r="C27" s="45">
        <f>SUM(C20:C26)</f>
        <v>178652</v>
      </c>
      <c r="D27" s="45">
        <f>SUM(D20:D26)</f>
        <v>180159</v>
      </c>
      <c r="E27" s="103"/>
      <c r="F27" s="282"/>
    </row>
    <row r="28" spans="1:11" x14ac:dyDescent="0.2">
      <c r="A28" s="199"/>
      <c r="B28" s="266"/>
      <c r="C28" s="266"/>
      <c r="D28" s="266"/>
      <c r="E28" s="266"/>
    </row>
    <row r="29" spans="1:11" x14ac:dyDescent="0.2">
      <c r="A29" s="199"/>
      <c r="B29" s="266"/>
      <c r="C29" s="266"/>
      <c r="D29" s="266"/>
      <c r="E29" s="199"/>
    </row>
    <row r="30" spans="1:11" x14ac:dyDescent="0.2">
      <c r="A30" s="26" t="s">
        <v>241</v>
      </c>
      <c r="B30" s="85"/>
      <c r="C30" s="85"/>
      <c r="D30" s="85"/>
      <c r="E30" s="199"/>
    </row>
    <row r="31" spans="1:11" x14ac:dyDescent="0.2">
      <c r="A31" s="85"/>
      <c r="B31" s="122"/>
      <c r="C31" s="122"/>
      <c r="D31" s="122"/>
      <c r="E31" s="199"/>
    </row>
    <row r="32" spans="1:11" x14ac:dyDescent="0.2">
      <c r="A32" s="421" t="s">
        <v>38</v>
      </c>
      <c r="B32" s="84" t="str">
        <f>B5</f>
        <v>1-9/2013</v>
      </c>
      <c r="C32" s="84" t="str">
        <f>C5</f>
        <v>1-9/2012</v>
      </c>
      <c r="D32" s="84" t="str">
        <f>D5</f>
        <v>1-12/2012</v>
      </c>
      <c r="E32" s="114"/>
    </row>
    <row r="33" spans="1:5" x14ac:dyDescent="0.2">
      <c r="A33" s="27"/>
      <c r="B33" s="85"/>
      <c r="C33" s="85"/>
      <c r="D33" s="85"/>
      <c r="E33" s="104"/>
    </row>
    <row r="34" spans="1:5" x14ac:dyDescent="0.2">
      <c r="A34" s="30" t="s">
        <v>77</v>
      </c>
      <c r="B34" s="45">
        <v>0</v>
      </c>
      <c r="C34" s="45">
        <v>0</v>
      </c>
      <c r="D34" s="45">
        <v>109</v>
      </c>
      <c r="E34" s="103"/>
    </row>
    <row r="35" spans="1:5" x14ac:dyDescent="0.2">
      <c r="A35" s="33" t="s">
        <v>83</v>
      </c>
      <c r="B35" s="46">
        <v>5101</v>
      </c>
      <c r="C35" s="46">
        <v>4836</v>
      </c>
      <c r="D35" s="46">
        <v>1953</v>
      </c>
      <c r="E35" s="103"/>
    </row>
    <row r="36" spans="1:5" x14ac:dyDescent="0.2">
      <c r="A36" s="27" t="s">
        <v>62</v>
      </c>
      <c r="B36" s="45">
        <f>SUM(B34:B35)</f>
        <v>5101</v>
      </c>
      <c r="C36" s="45">
        <f>SUM(C34:C35)</f>
        <v>4836</v>
      </c>
      <c r="D36" s="45">
        <f>SUM(D34:D35)</f>
        <v>2062</v>
      </c>
      <c r="E36" s="103"/>
    </row>
    <row r="37" spans="1:5" x14ac:dyDescent="0.2">
      <c r="A37" s="199"/>
      <c r="B37" s="199"/>
      <c r="C37" s="199"/>
      <c r="D37" s="199"/>
      <c r="E37" s="199"/>
    </row>
    <row r="38" spans="1:5" ht="25.5" x14ac:dyDescent="0.2">
      <c r="A38" s="422" t="s">
        <v>242</v>
      </c>
      <c r="B38" s="176"/>
      <c r="C38" s="176"/>
      <c r="D38" s="176"/>
      <c r="E38" s="176"/>
    </row>
    <row r="41" spans="1:5" x14ac:dyDescent="0.2">
      <c r="D41" s="282"/>
    </row>
  </sheetData>
  <phoneticPr fontId="3" type="noConversion"/>
  <pageMargins left="0.75" right="0.75" top="1" bottom="1" header="0.4921259845" footer="0.492125984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2" enableFormatConditionsCalculation="0"/>
  <dimension ref="A1:I43"/>
  <sheetViews>
    <sheetView zoomScaleNormal="100" workbookViewId="0"/>
  </sheetViews>
  <sheetFormatPr defaultRowHeight="12.75" x14ac:dyDescent="0.2"/>
  <cols>
    <col min="1" max="1" width="40.28515625" style="236" customWidth="1"/>
    <col min="2" max="2" width="9.5703125" style="236" customWidth="1"/>
    <col min="3" max="3" width="9.140625" style="236"/>
    <col min="4" max="4" width="11.140625" style="236" customWidth="1"/>
    <col min="5" max="16384" width="9.140625" style="236"/>
  </cols>
  <sheetData>
    <row r="1" spans="1:9" x14ac:dyDescent="0.2">
      <c r="A1" s="23" t="s">
        <v>5</v>
      </c>
      <c r="B1" s="23"/>
      <c r="D1" s="23"/>
    </row>
    <row r="2" spans="1:9" x14ac:dyDescent="0.2">
      <c r="B2" s="152"/>
      <c r="I2" s="235"/>
    </row>
    <row r="3" spans="1:9" x14ac:dyDescent="0.2">
      <c r="A3" s="48" t="s">
        <v>243</v>
      </c>
      <c r="B3" s="48"/>
      <c r="C3" s="304"/>
      <c r="D3" s="48"/>
      <c r="I3" s="235"/>
    </row>
    <row r="4" spans="1:9" x14ac:dyDescent="0.2">
      <c r="A4" s="9" t="s">
        <v>244</v>
      </c>
      <c r="B4" s="9"/>
      <c r="D4" s="9"/>
      <c r="I4" s="235"/>
    </row>
    <row r="5" spans="1:9" x14ac:dyDescent="0.2">
      <c r="A5" s="6"/>
      <c r="B5" s="6"/>
      <c r="D5" s="308"/>
      <c r="I5" s="235"/>
    </row>
    <row r="6" spans="1:9" x14ac:dyDescent="0.2">
      <c r="A6" s="421" t="s">
        <v>38</v>
      </c>
      <c r="B6" s="84" t="s">
        <v>32</v>
      </c>
      <c r="C6" s="84" t="s">
        <v>33</v>
      </c>
      <c r="D6" s="84" t="s">
        <v>26</v>
      </c>
      <c r="E6" s="114"/>
      <c r="I6" s="235"/>
    </row>
    <row r="7" spans="1:9" x14ac:dyDescent="0.2">
      <c r="A7" s="8"/>
      <c r="B7" s="8"/>
      <c r="C7" s="63"/>
      <c r="D7" s="63"/>
      <c r="E7" s="65"/>
      <c r="I7" s="235"/>
    </row>
    <row r="8" spans="1:9" x14ac:dyDescent="0.2">
      <c r="A8" s="7" t="s">
        <v>245</v>
      </c>
      <c r="B8" s="7"/>
      <c r="C8" s="60">
        <v>939</v>
      </c>
      <c r="D8" s="60">
        <v>939</v>
      </c>
      <c r="E8" s="62"/>
      <c r="F8" s="5"/>
      <c r="I8" s="235"/>
    </row>
    <row r="9" spans="1:9" x14ac:dyDescent="0.2">
      <c r="A9" s="7" t="s">
        <v>246</v>
      </c>
      <c r="B9" s="7"/>
      <c r="C9" s="60"/>
      <c r="D9" s="60"/>
      <c r="E9" s="62"/>
      <c r="F9" s="5"/>
      <c r="I9" s="235"/>
    </row>
    <row r="10" spans="1:9" x14ac:dyDescent="0.2">
      <c r="A10" s="7" t="s">
        <v>42</v>
      </c>
      <c r="B10" s="7"/>
      <c r="C10" s="60">
        <v>24</v>
      </c>
      <c r="D10" s="60">
        <v>24</v>
      </c>
      <c r="E10" s="62"/>
      <c r="F10" s="5"/>
      <c r="I10" s="235"/>
    </row>
    <row r="11" spans="1:9" x14ac:dyDescent="0.2">
      <c r="A11" s="101" t="s">
        <v>247</v>
      </c>
      <c r="B11" s="7"/>
      <c r="C11" s="60">
        <v>391</v>
      </c>
      <c r="D11" s="60">
        <v>391</v>
      </c>
      <c r="E11" s="62"/>
      <c r="F11" s="5"/>
      <c r="I11" s="235"/>
    </row>
    <row r="12" spans="1:9" x14ac:dyDescent="0.2">
      <c r="A12" s="236" t="s">
        <v>248</v>
      </c>
      <c r="C12" s="235"/>
      <c r="D12" s="235"/>
      <c r="E12" s="321"/>
      <c r="F12" s="322"/>
      <c r="I12" s="235"/>
    </row>
    <row r="13" spans="1:9" x14ac:dyDescent="0.2">
      <c r="A13" s="262" t="s">
        <v>249</v>
      </c>
      <c r="B13" s="262"/>
      <c r="C13" s="235">
        <v>0</v>
      </c>
      <c r="D13" s="235">
        <v>0</v>
      </c>
      <c r="E13" s="321"/>
      <c r="F13" s="322"/>
      <c r="I13" s="235"/>
    </row>
    <row r="14" spans="1:9" x14ac:dyDescent="0.2">
      <c r="A14" s="236" t="s">
        <v>250</v>
      </c>
      <c r="C14" s="235"/>
      <c r="D14" s="235"/>
      <c r="E14" s="321"/>
      <c r="F14" s="322"/>
      <c r="I14" s="235"/>
    </row>
    <row r="15" spans="1:9" x14ac:dyDescent="0.2">
      <c r="A15" s="423" t="s">
        <v>251</v>
      </c>
      <c r="B15" s="11"/>
      <c r="C15" s="235">
        <v>0</v>
      </c>
      <c r="D15" s="235">
        <v>0</v>
      </c>
      <c r="E15" s="321"/>
      <c r="F15" s="322"/>
      <c r="I15" s="235"/>
    </row>
    <row r="16" spans="1:9" x14ac:dyDescent="0.2">
      <c r="A16" s="423" t="s">
        <v>252</v>
      </c>
      <c r="B16" s="11"/>
      <c r="C16" s="235">
        <v>0</v>
      </c>
      <c r="D16" s="235">
        <v>0</v>
      </c>
      <c r="E16" s="321"/>
      <c r="F16" s="322"/>
      <c r="I16" s="235"/>
    </row>
    <row r="17" spans="1:9" x14ac:dyDescent="0.2">
      <c r="I17" s="235"/>
    </row>
    <row r="18" spans="1:9" x14ac:dyDescent="0.2">
      <c r="A18" s="47"/>
      <c r="B18" s="47"/>
      <c r="D18" s="47"/>
    </row>
    <row r="19" spans="1:9" x14ac:dyDescent="0.2">
      <c r="A19" s="323"/>
      <c r="B19" s="323"/>
      <c r="D19" s="323"/>
    </row>
    <row r="20" spans="1:9" x14ac:dyDescent="0.2">
      <c r="A20" s="323"/>
      <c r="B20" s="323"/>
      <c r="D20" s="323"/>
    </row>
    <row r="21" spans="1:9" x14ac:dyDescent="0.2">
      <c r="A21" s="324"/>
      <c r="B21" s="324"/>
      <c r="D21" s="324"/>
    </row>
    <row r="22" spans="1:9" x14ac:dyDescent="0.2">
      <c r="A22" s="324"/>
      <c r="B22" s="324"/>
      <c r="D22" s="324"/>
    </row>
    <row r="23" spans="1:9" x14ac:dyDescent="0.2">
      <c r="A23" s="324"/>
      <c r="B23" s="324"/>
      <c r="D23" s="324"/>
    </row>
    <row r="24" spans="1:9" x14ac:dyDescent="0.2">
      <c r="A24" s="324"/>
      <c r="B24" s="324"/>
      <c r="D24" s="324"/>
    </row>
    <row r="25" spans="1:9" x14ac:dyDescent="0.2">
      <c r="A25" s="324"/>
      <c r="B25" s="324"/>
      <c r="D25" s="324"/>
    </row>
    <row r="26" spans="1:9" x14ac:dyDescent="0.2">
      <c r="A26" s="324"/>
      <c r="B26" s="324"/>
      <c r="D26" s="324"/>
    </row>
    <row r="27" spans="1:9" x14ac:dyDescent="0.2">
      <c r="A27" s="324"/>
      <c r="B27" s="324"/>
      <c r="D27" s="324"/>
    </row>
    <row r="28" spans="1:9" x14ac:dyDescent="0.2">
      <c r="A28" s="324"/>
      <c r="B28" s="324"/>
      <c r="D28" s="324"/>
    </row>
    <row r="29" spans="1:9" x14ac:dyDescent="0.2">
      <c r="A29" s="324"/>
      <c r="B29" s="324"/>
      <c r="D29" s="324"/>
    </row>
    <row r="30" spans="1:9" x14ac:dyDescent="0.2">
      <c r="A30" s="324"/>
      <c r="B30" s="324"/>
      <c r="D30" s="324"/>
    </row>
    <row r="31" spans="1:9" x14ac:dyDescent="0.2">
      <c r="A31" s="324"/>
      <c r="B31" s="324"/>
      <c r="D31" s="324"/>
    </row>
    <row r="32" spans="1:9" x14ac:dyDescent="0.2">
      <c r="A32" s="324"/>
      <c r="B32" s="324"/>
      <c r="D32" s="324"/>
    </row>
    <row r="33" spans="1:4" x14ac:dyDescent="0.2">
      <c r="A33" s="324"/>
      <c r="B33" s="324"/>
      <c r="D33" s="324"/>
    </row>
    <row r="34" spans="1:4" x14ac:dyDescent="0.2">
      <c r="A34" s="324"/>
      <c r="B34" s="324"/>
      <c r="D34" s="324"/>
    </row>
    <row r="35" spans="1:4" x14ac:dyDescent="0.2">
      <c r="A35" s="324"/>
      <c r="B35" s="324"/>
      <c r="D35" s="324"/>
    </row>
    <row r="36" spans="1:4" x14ac:dyDescent="0.2">
      <c r="A36" s="324"/>
      <c r="B36" s="324"/>
      <c r="D36" s="324"/>
    </row>
    <row r="37" spans="1:4" x14ac:dyDescent="0.2">
      <c r="A37" s="324"/>
      <c r="B37" s="324"/>
      <c r="D37" s="324"/>
    </row>
    <row r="38" spans="1:4" x14ac:dyDescent="0.2">
      <c r="A38" s="324"/>
      <c r="B38" s="324"/>
      <c r="D38" s="324"/>
    </row>
    <row r="39" spans="1:4" x14ac:dyDescent="0.2">
      <c r="A39" s="324"/>
      <c r="B39" s="324"/>
      <c r="D39" s="324"/>
    </row>
    <row r="40" spans="1:4" x14ac:dyDescent="0.2">
      <c r="A40" s="324"/>
      <c r="B40" s="324"/>
      <c r="D40" s="324"/>
    </row>
    <row r="41" spans="1:4" x14ac:dyDescent="0.2">
      <c r="A41" s="324"/>
      <c r="B41" s="324"/>
      <c r="D41" s="324"/>
    </row>
    <row r="42" spans="1:4" x14ac:dyDescent="0.2">
      <c r="A42" s="324"/>
      <c r="B42" s="324"/>
      <c r="D42" s="324"/>
    </row>
    <row r="43" spans="1:4" x14ac:dyDescent="0.2">
      <c r="A43" s="324"/>
      <c r="B43" s="324"/>
      <c r="D43" s="324"/>
    </row>
  </sheetData>
  <phoneticPr fontId="9" type="noConversion"/>
  <pageMargins left="0.75" right="0.75" top="1" bottom="1" header="0.4921259845" footer="0.4921259845"/>
  <pageSetup paperSize="9" orientation="portrait" r:id="rId1"/>
  <headerFooter alignWithMargins="0"/>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8"/>
  <sheetViews>
    <sheetView workbookViewId="0"/>
  </sheetViews>
  <sheetFormatPr defaultRowHeight="12.75" x14ac:dyDescent="0.2"/>
  <cols>
    <col min="1" max="1" width="28.42578125" style="200" customWidth="1"/>
    <col min="2" max="2" width="12" style="200" customWidth="1"/>
    <col min="3" max="3" width="10.7109375" style="200" customWidth="1"/>
    <col min="4" max="4" width="11.7109375" style="200" customWidth="1"/>
    <col min="5" max="6" width="11.5703125" style="200" customWidth="1"/>
    <col min="7" max="7" width="12.85546875" style="200" customWidth="1"/>
    <col min="8" max="8" width="10.7109375" style="200" customWidth="1"/>
    <col min="9" max="9" width="11.7109375" style="200" customWidth="1"/>
    <col min="10" max="16384" width="9.140625" style="200"/>
  </cols>
  <sheetData>
    <row r="1" spans="1:10" x14ac:dyDescent="0.2">
      <c r="A1" s="27" t="s">
        <v>5</v>
      </c>
    </row>
    <row r="2" spans="1:10" x14ac:dyDescent="0.2">
      <c r="A2" s="23"/>
    </row>
    <row r="3" spans="1:10" x14ac:dyDescent="0.2">
      <c r="A3" s="424" t="s">
        <v>253</v>
      </c>
      <c r="E3" s="152"/>
    </row>
    <row r="4" spans="1:10" x14ac:dyDescent="0.2">
      <c r="A4" s="199"/>
      <c r="B4" s="199"/>
      <c r="C4" s="199"/>
      <c r="D4" s="199"/>
      <c r="E4" s="199"/>
      <c r="F4" s="199"/>
      <c r="G4" s="199"/>
      <c r="H4" s="199"/>
      <c r="I4" s="199"/>
      <c r="J4" s="199"/>
    </row>
    <row r="5" spans="1:10" ht="77.25" thickBot="1" x14ac:dyDescent="0.25">
      <c r="A5" s="425" t="s">
        <v>38</v>
      </c>
      <c r="B5" s="426" t="s">
        <v>254</v>
      </c>
      <c r="C5" s="426" t="s">
        <v>255</v>
      </c>
      <c r="D5" s="426" t="s">
        <v>256</v>
      </c>
      <c r="E5" s="426" t="s">
        <v>257</v>
      </c>
      <c r="F5" s="426" t="s">
        <v>258</v>
      </c>
      <c r="G5" s="426" t="s">
        <v>259</v>
      </c>
      <c r="H5" s="426" t="s">
        <v>260</v>
      </c>
      <c r="I5" s="426" t="s">
        <v>261</v>
      </c>
      <c r="J5" s="199"/>
    </row>
    <row r="6" spans="1:10" x14ac:dyDescent="0.2">
      <c r="A6" s="192"/>
      <c r="B6" s="199"/>
      <c r="C6" s="199"/>
      <c r="D6" s="199"/>
      <c r="E6" s="199"/>
      <c r="F6" s="199"/>
      <c r="G6" s="192"/>
      <c r="H6" s="199"/>
      <c r="I6" s="199"/>
      <c r="J6" s="199"/>
    </row>
    <row r="7" spans="1:10" x14ac:dyDescent="0.2">
      <c r="A7" s="424" t="s">
        <v>262</v>
      </c>
      <c r="B7" s="325"/>
      <c r="C7" s="101"/>
      <c r="D7" s="101"/>
      <c r="E7" s="101"/>
      <c r="F7" s="101"/>
      <c r="G7" s="278"/>
      <c r="H7" s="101"/>
      <c r="I7" s="101"/>
      <c r="J7" s="199"/>
    </row>
    <row r="8" spans="1:10" x14ac:dyDescent="0.2">
      <c r="A8" s="427" t="s">
        <v>90</v>
      </c>
      <c r="B8" s="290"/>
      <c r="C8" s="292"/>
      <c r="D8" s="290">
        <v>4251</v>
      </c>
      <c r="E8" s="292"/>
      <c r="F8" s="292"/>
      <c r="G8" s="290">
        <v>4251</v>
      </c>
      <c r="H8" s="290">
        <v>4251</v>
      </c>
      <c r="I8" s="101">
        <v>3</v>
      </c>
      <c r="J8" s="199"/>
    </row>
    <row r="9" spans="1:10" x14ac:dyDescent="0.2">
      <c r="A9" s="427" t="s">
        <v>91</v>
      </c>
      <c r="B9" s="290"/>
      <c r="C9" s="290">
        <v>3746</v>
      </c>
      <c r="D9" s="290"/>
      <c r="E9" s="292"/>
      <c r="F9" s="292"/>
      <c r="G9" s="290">
        <v>3746</v>
      </c>
      <c r="H9" s="291">
        <v>3930</v>
      </c>
      <c r="I9" s="326"/>
      <c r="J9" s="199"/>
    </row>
    <row r="10" spans="1:10" x14ac:dyDescent="0.2">
      <c r="A10" s="427" t="s">
        <v>93</v>
      </c>
      <c r="B10" s="327"/>
      <c r="C10" s="290">
        <v>5743</v>
      </c>
      <c r="D10" s="290"/>
      <c r="E10" s="292"/>
      <c r="F10" s="292"/>
      <c r="G10" s="290">
        <v>5743</v>
      </c>
      <c r="H10" s="290">
        <v>5743</v>
      </c>
      <c r="I10" s="101"/>
      <c r="J10" s="199"/>
    </row>
    <row r="11" spans="1:10" x14ac:dyDescent="0.2">
      <c r="A11" s="428"/>
      <c r="B11" s="290"/>
      <c r="C11" s="290"/>
      <c r="D11" s="292"/>
      <c r="E11" s="292"/>
      <c r="F11" s="292"/>
      <c r="G11" s="290"/>
      <c r="H11" s="290"/>
      <c r="I11" s="101"/>
      <c r="J11" s="199"/>
    </row>
    <row r="12" spans="1:10" x14ac:dyDescent="0.2">
      <c r="A12" s="424" t="s">
        <v>263</v>
      </c>
      <c r="B12" s="290"/>
      <c r="C12" s="290"/>
      <c r="D12" s="292"/>
      <c r="E12" s="292"/>
      <c r="F12" s="292"/>
      <c r="G12" s="328"/>
      <c r="H12" s="290"/>
      <c r="I12" s="101"/>
      <c r="J12" s="199"/>
    </row>
    <row r="13" spans="1:10" x14ac:dyDescent="0.2">
      <c r="A13" s="429" t="s">
        <v>97</v>
      </c>
      <c r="B13" s="290"/>
      <c r="C13" s="290">
        <v>78493</v>
      </c>
      <c r="D13" s="292"/>
      <c r="E13" s="292"/>
      <c r="F13" s="292"/>
      <c r="G13" s="290">
        <v>78493</v>
      </c>
      <c r="H13" s="290">
        <v>78493</v>
      </c>
      <c r="I13" s="101"/>
      <c r="J13" s="199"/>
    </row>
    <row r="14" spans="1:10" x14ac:dyDescent="0.2">
      <c r="A14" s="429" t="s">
        <v>98</v>
      </c>
      <c r="B14" s="290"/>
      <c r="C14" s="290"/>
      <c r="D14" s="292"/>
      <c r="E14" s="292"/>
      <c r="F14" s="292">
        <v>716</v>
      </c>
      <c r="G14" s="290">
        <v>716</v>
      </c>
      <c r="H14" s="290">
        <v>716</v>
      </c>
      <c r="I14" s="101">
        <v>2</v>
      </c>
      <c r="J14" s="199"/>
    </row>
    <row r="15" spans="1:10" x14ac:dyDescent="0.2">
      <c r="A15" s="427" t="s">
        <v>256</v>
      </c>
      <c r="B15" s="290"/>
      <c r="C15" s="290"/>
      <c r="D15" s="290"/>
      <c r="E15" s="292"/>
      <c r="F15" s="292"/>
      <c r="G15" s="290"/>
      <c r="H15" s="290"/>
      <c r="I15" s="101">
        <v>2</v>
      </c>
      <c r="J15" s="199"/>
    </row>
    <row r="16" spans="1:10" x14ac:dyDescent="0.2">
      <c r="A16" s="371" t="s">
        <v>100</v>
      </c>
      <c r="B16" s="293"/>
      <c r="C16" s="293">
        <v>22093</v>
      </c>
      <c r="D16" s="329"/>
      <c r="E16" s="329"/>
      <c r="F16" s="329"/>
      <c r="G16" s="293">
        <v>22093</v>
      </c>
      <c r="H16" s="293">
        <v>22093</v>
      </c>
      <c r="I16" s="101"/>
      <c r="J16" s="199"/>
    </row>
    <row r="17" spans="1:10" x14ac:dyDescent="0.2">
      <c r="A17" s="427" t="s">
        <v>264</v>
      </c>
      <c r="B17" s="290"/>
      <c r="C17" s="290">
        <f>SUM(C7:C16)</f>
        <v>110075</v>
      </c>
      <c r="D17" s="290">
        <f t="shared" ref="D17:H17" si="0">SUM(D7:D16)</f>
        <v>4251</v>
      </c>
      <c r="E17" s="290">
        <f t="shared" si="0"/>
        <v>0</v>
      </c>
      <c r="F17" s="290">
        <f t="shared" si="0"/>
        <v>716</v>
      </c>
      <c r="G17" s="290">
        <f t="shared" si="0"/>
        <v>115042</v>
      </c>
      <c r="H17" s="290">
        <f t="shared" si="0"/>
        <v>115226</v>
      </c>
      <c r="I17" s="101"/>
      <c r="J17" s="199"/>
    </row>
    <row r="18" spans="1:10" x14ac:dyDescent="0.2">
      <c r="A18" s="428"/>
      <c r="B18" s="292"/>
      <c r="C18" s="292"/>
      <c r="D18" s="292"/>
      <c r="E18" s="292"/>
      <c r="F18" s="292"/>
      <c r="G18" s="292"/>
      <c r="H18" s="290"/>
      <c r="I18" s="101"/>
      <c r="J18" s="199"/>
    </row>
    <row r="19" spans="1:10" x14ac:dyDescent="0.2">
      <c r="A19" s="424" t="s">
        <v>265</v>
      </c>
      <c r="B19" s="330"/>
      <c r="C19" s="330"/>
      <c r="D19" s="292"/>
      <c r="E19" s="292"/>
      <c r="F19" s="292"/>
      <c r="G19" s="331"/>
      <c r="H19" s="290"/>
      <c r="I19" s="326"/>
      <c r="J19" s="199"/>
    </row>
    <row r="20" spans="1:10" x14ac:dyDescent="0.2">
      <c r="A20" s="429" t="s">
        <v>117</v>
      </c>
      <c r="B20" s="290"/>
      <c r="C20" s="290"/>
      <c r="D20" s="292"/>
      <c r="E20" s="290">
        <v>39898</v>
      </c>
      <c r="F20" s="327"/>
      <c r="G20" s="290">
        <v>39898</v>
      </c>
      <c r="H20" s="290">
        <v>40060</v>
      </c>
      <c r="I20" s="326"/>
      <c r="J20" s="199"/>
    </row>
    <row r="21" spans="1:10" x14ac:dyDescent="0.2">
      <c r="A21" s="429" t="s">
        <v>118</v>
      </c>
      <c r="B21" s="290"/>
      <c r="C21" s="290"/>
      <c r="D21" s="292"/>
      <c r="E21" s="290">
        <v>540</v>
      </c>
      <c r="F21" s="290"/>
      <c r="G21" s="290">
        <v>540</v>
      </c>
      <c r="H21" s="290">
        <v>540</v>
      </c>
      <c r="I21" s="101"/>
      <c r="J21" s="199"/>
    </row>
    <row r="22" spans="1:10" x14ac:dyDescent="0.2">
      <c r="A22" s="428"/>
      <c r="B22" s="290"/>
      <c r="C22" s="290"/>
      <c r="D22" s="292"/>
      <c r="E22" s="290"/>
      <c r="F22" s="290"/>
      <c r="G22" s="290"/>
      <c r="H22" s="290"/>
      <c r="I22" s="101"/>
      <c r="J22" s="199"/>
    </row>
    <row r="23" spans="1:10" x14ac:dyDescent="0.2">
      <c r="A23" s="424" t="s">
        <v>266</v>
      </c>
      <c r="B23" s="290"/>
      <c r="C23" s="290"/>
      <c r="D23" s="292"/>
      <c r="E23" s="292"/>
      <c r="F23" s="292"/>
      <c r="G23" s="290"/>
      <c r="H23" s="290"/>
      <c r="I23" s="101"/>
      <c r="J23" s="199"/>
    </row>
    <row r="24" spans="1:10" x14ac:dyDescent="0.2">
      <c r="A24" s="429" t="s">
        <v>117</v>
      </c>
      <c r="B24" s="290"/>
      <c r="C24" s="290"/>
      <c r="D24" s="292"/>
      <c r="E24" s="290">
        <v>47494</v>
      </c>
      <c r="F24" s="327"/>
      <c r="G24" s="290">
        <v>47494</v>
      </c>
      <c r="H24" s="290"/>
      <c r="I24" s="101"/>
      <c r="J24" s="199"/>
    </row>
    <row r="25" spans="1:10" x14ac:dyDescent="0.2">
      <c r="A25" s="429" t="s">
        <v>120</v>
      </c>
      <c r="B25" s="290"/>
      <c r="C25" s="290"/>
      <c r="D25" s="292"/>
      <c r="E25" s="290">
        <v>54454</v>
      </c>
      <c r="F25" s="290"/>
      <c r="G25" s="290">
        <v>54454</v>
      </c>
      <c r="H25" s="290"/>
      <c r="I25" s="101"/>
      <c r="J25" s="199"/>
    </row>
    <row r="26" spans="1:10" x14ac:dyDescent="0.2">
      <c r="A26" s="430" t="s">
        <v>121</v>
      </c>
      <c r="B26" s="293"/>
      <c r="C26" s="293"/>
      <c r="D26" s="329"/>
      <c r="E26" s="293"/>
      <c r="F26" s="293">
        <v>491</v>
      </c>
      <c r="G26" s="293">
        <v>491</v>
      </c>
      <c r="H26" s="293">
        <v>491</v>
      </c>
      <c r="I26" s="101">
        <v>2</v>
      </c>
      <c r="J26" s="199"/>
    </row>
    <row r="27" spans="1:10" x14ac:dyDescent="0.2">
      <c r="A27" s="427" t="s">
        <v>267</v>
      </c>
      <c r="B27" s="294"/>
      <c r="C27" s="294"/>
      <c r="D27" s="294"/>
      <c r="E27" s="291">
        <f>SUM(E20:E26)</f>
        <v>142386</v>
      </c>
      <c r="F27" s="291">
        <f t="shared" ref="F27:H27" si="1">SUM(F20:F26)</f>
        <v>491</v>
      </c>
      <c r="G27" s="291">
        <f t="shared" si="1"/>
        <v>142877</v>
      </c>
      <c r="H27" s="291">
        <f t="shared" si="1"/>
        <v>41091</v>
      </c>
      <c r="I27" s="126"/>
      <c r="J27" s="199"/>
    </row>
    <row r="28" spans="1:10" x14ac:dyDescent="0.2">
      <c r="A28" s="199"/>
      <c r="B28" s="199"/>
      <c r="C28" s="199"/>
      <c r="D28" s="199"/>
      <c r="E28" s="199"/>
      <c r="F28" s="199"/>
      <c r="G28" s="199"/>
      <c r="H28" s="199"/>
      <c r="I28" s="199"/>
      <c r="J28" s="199"/>
    </row>
  </sheetData>
  <pageMargins left="0.7" right="0.7" top="0.75" bottom="0.75" header="0.3" footer="0.3"/>
  <pageSetup paperSize="9" scale="7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13">
    <pageSetUpPr fitToPage="1"/>
  </sheetPr>
  <dimension ref="A1:F111"/>
  <sheetViews>
    <sheetView zoomScaleNormal="100" workbookViewId="0"/>
  </sheetViews>
  <sheetFormatPr defaultRowHeight="12.75" x14ac:dyDescent="0.2"/>
  <cols>
    <col min="1" max="1" width="40.28515625" style="125" customWidth="1"/>
    <col min="2" max="2" width="22.42578125" style="125" customWidth="1"/>
    <col min="3" max="4" width="12.42578125" style="125" customWidth="1"/>
    <col min="5" max="16384" width="9.140625" style="125"/>
  </cols>
  <sheetData>
    <row r="1" spans="1:5" x14ac:dyDescent="0.2">
      <c r="A1" s="332" t="s">
        <v>5</v>
      </c>
      <c r="B1" s="332"/>
      <c r="C1" s="332"/>
      <c r="D1" s="332"/>
    </row>
    <row r="2" spans="1:5" x14ac:dyDescent="0.2">
      <c r="B2" s="152"/>
    </row>
    <row r="3" spans="1:5" x14ac:dyDescent="0.2">
      <c r="A3" s="431" t="s">
        <v>268</v>
      </c>
      <c r="B3" s="124"/>
      <c r="C3" s="124"/>
      <c r="D3" s="124"/>
    </row>
    <row r="4" spans="1:5" x14ac:dyDescent="0.2">
      <c r="A4" s="124"/>
      <c r="B4" s="124"/>
      <c r="C4" s="355"/>
      <c r="D4" s="355"/>
    </row>
    <row r="5" spans="1:5" x14ac:dyDescent="0.2">
      <c r="A5" s="363" t="s">
        <v>38</v>
      </c>
      <c r="B5" s="121" t="s">
        <v>34</v>
      </c>
      <c r="C5" s="121" t="s">
        <v>35</v>
      </c>
      <c r="D5" s="121" t="s">
        <v>27</v>
      </c>
      <c r="E5" s="203"/>
    </row>
    <row r="6" spans="1:5" x14ac:dyDescent="0.2">
      <c r="A6" s="346"/>
      <c r="E6" s="204"/>
    </row>
    <row r="7" spans="1:5" x14ac:dyDescent="0.2">
      <c r="A7" s="431" t="s">
        <v>269</v>
      </c>
      <c r="B7" s="333"/>
      <c r="C7" s="333"/>
      <c r="D7" s="333"/>
      <c r="E7" s="206"/>
    </row>
    <row r="8" spans="1:5" x14ac:dyDescent="0.2">
      <c r="A8" s="126" t="s">
        <v>270</v>
      </c>
      <c r="B8" s="267">
        <v>186</v>
      </c>
      <c r="C8" s="302">
        <v>186</v>
      </c>
      <c r="D8" s="267">
        <v>186</v>
      </c>
      <c r="E8" s="205"/>
    </row>
    <row r="9" spans="1:5" x14ac:dyDescent="0.2">
      <c r="A9" s="126" t="s">
        <v>271</v>
      </c>
      <c r="B9" s="267">
        <v>583</v>
      </c>
      <c r="C9" s="302">
        <v>460</v>
      </c>
      <c r="D9" s="267">
        <v>583</v>
      </c>
      <c r="E9" s="205"/>
    </row>
    <row r="10" spans="1:5" x14ac:dyDescent="0.2">
      <c r="A10" s="126" t="s">
        <v>272</v>
      </c>
      <c r="B10" s="334">
        <v>180</v>
      </c>
      <c r="C10" s="335">
        <v>187</v>
      </c>
      <c r="D10" s="334">
        <v>178</v>
      </c>
      <c r="E10" s="206"/>
    </row>
    <row r="11" spans="1:5" x14ac:dyDescent="0.2">
      <c r="A11" s="337"/>
      <c r="B11" s="336"/>
      <c r="C11" s="337"/>
      <c r="D11" s="336"/>
      <c r="E11" s="206"/>
    </row>
    <row r="12" spans="1:5" x14ac:dyDescent="0.2">
      <c r="A12" s="126" t="s">
        <v>273</v>
      </c>
      <c r="B12" s="110">
        <v>8712</v>
      </c>
      <c r="C12" s="303">
        <v>6255</v>
      </c>
      <c r="D12" s="110">
        <v>6483</v>
      </c>
      <c r="E12" s="205"/>
    </row>
    <row r="13" spans="1:5" x14ac:dyDescent="0.2">
      <c r="A13" s="346"/>
    </row>
    <row r="14" spans="1:5" x14ac:dyDescent="0.2">
      <c r="A14" s="126" t="s">
        <v>274</v>
      </c>
    </row>
    <row r="15" spans="1:5" x14ac:dyDescent="0.2">
      <c r="A15" s="346"/>
    </row>
    <row r="16" spans="1:5" x14ac:dyDescent="0.2">
      <c r="A16" s="431" t="s">
        <v>275</v>
      </c>
      <c r="B16" s="124"/>
    </row>
    <row r="17" spans="1:5" x14ac:dyDescent="0.2">
      <c r="A17" s="346"/>
    </row>
    <row r="18" spans="1:5" x14ac:dyDescent="0.2">
      <c r="A18" s="346" t="s">
        <v>276</v>
      </c>
    </row>
    <row r="19" spans="1:5" x14ac:dyDescent="0.2">
      <c r="A19" s="346" t="s">
        <v>277</v>
      </c>
    </row>
    <row r="20" spans="1:5" x14ac:dyDescent="0.2">
      <c r="A20" s="346" t="s">
        <v>278</v>
      </c>
    </row>
    <row r="23" spans="1:5" x14ac:dyDescent="0.2">
      <c r="A23" s="431" t="s">
        <v>279</v>
      </c>
      <c r="B23" s="124"/>
      <c r="C23" s="124"/>
      <c r="D23" s="124"/>
    </row>
    <row r="24" spans="1:5" x14ac:dyDescent="0.2">
      <c r="A24" s="346"/>
    </row>
    <row r="25" spans="1:5" x14ac:dyDescent="0.2">
      <c r="A25" s="363" t="s">
        <v>38</v>
      </c>
      <c r="B25" s="121" t="str">
        <f>B5</f>
        <v>9/2013</v>
      </c>
      <c r="C25" s="121" t="str">
        <f>C5</f>
        <v>9/2012</v>
      </c>
      <c r="D25" s="121" t="str">
        <f>D5</f>
        <v>12/2012</v>
      </c>
      <c r="E25" s="203"/>
    </row>
    <row r="26" spans="1:5" x14ac:dyDescent="0.2">
      <c r="A26" s="432"/>
      <c r="B26" s="196"/>
      <c r="C26" s="196"/>
      <c r="D26" s="196"/>
      <c r="E26" s="111"/>
    </row>
    <row r="27" spans="1:5" x14ac:dyDescent="0.2">
      <c r="A27" s="126" t="s">
        <v>280</v>
      </c>
      <c r="B27" s="110">
        <v>4946</v>
      </c>
      <c r="C27" s="303">
        <v>6117.0469918699182</v>
      </c>
      <c r="D27" s="110">
        <v>5555.7019712195124</v>
      </c>
      <c r="E27" s="205"/>
    </row>
    <row r="28" spans="1:5" x14ac:dyDescent="0.2">
      <c r="A28" s="126" t="s">
        <v>281</v>
      </c>
      <c r="B28" s="110">
        <v>5599</v>
      </c>
      <c r="C28" s="303">
        <v>8677.8940731707316</v>
      </c>
      <c r="D28" s="110">
        <v>8376.6353210569105</v>
      </c>
      <c r="E28" s="205"/>
    </row>
    <row r="29" spans="1:5" x14ac:dyDescent="0.2">
      <c r="A29" s="212" t="s">
        <v>282</v>
      </c>
      <c r="B29" s="339">
        <v>2146</v>
      </c>
      <c r="C29" s="340">
        <v>2387</v>
      </c>
      <c r="D29" s="339">
        <v>2274</v>
      </c>
      <c r="E29" s="205"/>
    </row>
    <row r="30" spans="1:5" x14ac:dyDescent="0.2">
      <c r="A30" s="126" t="s">
        <v>62</v>
      </c>
      <c r="B30" s="110">
        <f>SUM(B27:B29)</f>
        <v>12691</v>
      </c>
      <c r="C30" s="303">
        <v>17181.94106504065</v>
      </c>
      <c r="D30" s="110">
        <v>16206.337292276423</v>
      </c>
      <c r="E30" s="205"/>
    </row>
    <row r="31" spans="1:5" x14ac:dyDescent="0.2">
      <c r="A31" s="346"/>
      <c r="C31" s="110"/>
      <c r="D31" s="110"/>
    </row>
    <row r="32" spans="1:5" x14ac:dyDescent="0.2">
      <c r="A32" s="346"/>
      <c r="C32" s="110"/>
      <c r="D32" s="110"/>
    </row>
    <row r="33" spans="1:4" x14ac:dyDescent="0.2">
      <c r="A33" s="431" t="s">
        <v>283</v>
      </c>
      <c r="B33" s="124"/>
      <c r="C33" s="124"/>
      <c r="D33" s="124"/>
    </row>
    <row r="34" spans="1:4" x14ac:dyDescent="0.2">
      <c r="A34" s="431"/>
      <c r="B34" s="124"/>
      <c r="C34" s="124"/>
      <c r="D34" s="124"/>
    </row>
    <row r="35" spans="1:4" x14ac:dyDescent="0.2">
      <c r="A35" s="431"/>
      <c r="B35" s="124"/>
      <c r="C35" s="124"/>
      <c r="D35" s="124"/>
    </row>
    <row r="36" spans="1:4" x14ac:dyDescent="0.2">
      <c r="A36" s="424" t="s">
        <v>284</v>
      </c>
      <c r="B36" s="273"/>
      <c r="C36" s="199"/>
      <c r="D36" s="199"/>
    </row>
    <row r="37" spans="1:4" x14ac:dyDescent="0.2">
      <c r="A37" s="346"/>
      <c r="B37" s="126"/>
      <c r="C37" s="356"/>
      <c r="D37" s="199"/>
    </row>
    <row r="38" spans="1:4" x14ac:dyDescent="0.2">
      <c r="A38" s="371" t="s">
        <v>38</v>
      </c>
      <c r="B38" s="121" t="str">
        <f>B25</f>
        <v>9/2013</v>
      </c>
      <c r="C38" s="121" t="str">
        <f>C25</f>
        <v>9/2012</v>
      </c>
      <c r="D38" s="121" t="s">
        <v>27</v>
      </c>
    </row>
    <row r="39" spans="1:4" x14ac:dyDescent="0.2">
      <c r="A39" s="428"/>
      <c r="B39" s="274"/>
      <c r="C39" s="275"/>
      <c r="D39" s="275"/>
    </row>
    <row r="40" spans="1:4" ht="25.5" x14ac:dyDescent="0.2">
      <c r="A40" s="433" t="s">
        <v>285</v>
      </c>
      <c r="B40" s="341"/>
      <c r="C40" s="199"/>
      <c r="D40" s="199"/>
    </row>
    <row r="41" spans="1:4" x14ac:dyDescent="0.2">
      <c r="A41" s="427" t="s">
        <v>286</v>
      </c>
      <c r="B41" s="342">
        <v>11200</v>
      </c>
      <c r="C41" s="110">
        <v>12444</v>
      </c>
      <c r="D41" s="110">
        <v>12800</v>
      </c>
    </row>
    <row r="42" spans="1:4" x14ac:dyDescent="0.2">
      <c r="A42" s="371" t="s">
        <v>281</v>
      </c>
      <c r="B42" s="343">
        <v>12267</v>
      </c>
      <c r="C42" s="339">
        <f>27446+3636</f>
        <v>31082</v>
      </c>
      <c r="D42" s="339">
        <v>16667</v>
      </c>
    </row>
    <row r="43" spans="1:4" x14ac:dyDescent="0.2">
      <c r="A43" s="429" t="s">
        <v>62</v>
      </c>
      <c r="B43" s="110">
        <f t="shared" ref="B43:C43" si="0">SUM(B41:B42)</f>
        <v>23467</v>
      </c>
      <c r="C43" s="110">
        <f t="shared" si="0"/>
        <v>43526</v>
      </c>
      <c r="D43" s="110">
        <f>SUM(D41:D42)</f>
        <v>29467</v>
      </c>
    </row>
    <row r="44" spans="1:4" x14ac:dyDescent="0.2">
      <c r="A44" s="429" t="s">
        <v>287</v>
      </c>
      <c r="B44" s="345">
        <v>700</v>
      </c>
      <c r="C44" s="110">
        <v>712</v>
      </c>
      <c r="D44" s="110">
        <v>1150</v>
      </c>
    </row>
    <row r="45" spans="1:4" x14ac:dyDescent="0.2">
      <c r="A45" s="344"/>
      <c r="B45" s="344"/>
      <c r="C45" s="110"/>
      <c r="D45" s="110"/>
    </row>
    <row r="46" spans="1:4" x14ac:dyDescent="0.2">
      <c r="A46" s="434" t="s">
        <v>288</v>
      </c>
      <c r="B46" s="434"/>
      <c r="C46" s="434"/>
      <c r="D46" s="434"/>
    </row>
    <row r="47" spans="1:4" x14ac:dyDescent="0.2">
      <c r="A47" s="434"/>
      <c r="B47" s="434"/>
      <c r="C47" s="434"/>
      <c r="D47" s="434"/>
    </row>
    <row r="48" spans="1:4" x14ac:dyDescent="0.2">
      <c r="A48" s="434"/>
      <c r="B48" s="434"/>
      <c r="C48" s="434"/>
      <c r="D48" s="434"/>
    </row>
    <row r="49" spans="1:5" x14ac:dyDescent="0.2">
      <c r="A49" s="124"/>
      <c r="B49" s="124"/>
      <c r="C49" s="124"/>
      <c r="D49" s="124"/>
    </row>
    <row r="50" spans="1:5" x14ac:dyDescent="0.2">
      <c r="A50" s="124"/>
      <c r="B50" s="124"/>
      <c r="C50" s="124"/>
      <c r="D50" s="124"/>
    </row>
    <row r="51" spans="1:5" x14ac:dyDescent="0.2">
      <c r="A51" s="424" t="s">
        <v>289</v>
      </c>
      <c r="B51" s="124"/>
      <c r="C51" s="124"/>
      <c r="D51" s="124"/>
    </row>
    <row r="52" spans="1:5" x14ac:dyDescent="0.2">
      <c r="A52" s="346"/>
      <c r="C52" s="356"/>
    </row>
    <row r="53" spans="1:5" x14ac:dyDescent="0.2">
      <c r="A53" s="371" t="s">
        <v>38</v>
      </c>
      <c r="B53" s="121" t="str">
        <f>B25</f>
        <v>9/2013</v>
      </c>
      <c r="C53" s="121" t="str">
        <f>+C25</f>
        <v>9/2012</v>
      </c>
      <c r="D53" s="121" t="str">
        <f>+D25</f>
        <v>12/2012</v>
      </c>
      <c r="E53" s="203"/>
    </row>
    <row r="54" spans="1:5" x14ac:dyDescent="0.2">
      <c r="A54" s="432"/>
      <c r="B54" s="196"/>
      <c r="C54" s="196"/>
      <c r="D54" s="196"/>
      <c r="E54" s="111"/>
    </row>
    <row r="55" spans="1:5" x14ac:dyDescent="0.2">
      <c r="A55" s="427" t="s">
        <v>290</v>
      </c>
      <c r="E55" s="234"/>
    </row>
    <row r="56" spans="1:5" x14ac:dyDescent="0.2">
      <c r="A56" s="346"/>
      <c r="E56" s="234"/>
    </row>
    <row r="57" spans="1:5" x14ac:dyDescent="0.2">
      <c r="A57" s="427" t="s">
        <v>280</v>
      </c>
      <c r="B57" s="110">
        <v>17109</v>
      </c>
      <c r="C57" s="110"/>
      <c r="D57" s="110">
        <v>14229</v>
      </c>
      <c r="E57" s="205"/>
    </row>
    <row r="58" spans="1:5" x14ac:dyDescent="0.2">
      <c r="A58" s="427" t="s">
        <v>291</v>
      </c>
      <c r="B58" s="110">
        <v>19539</v>
      </c>
      <c r="C58" s="110"/>
      <c r="D58" s="110">
        <v>28940</v>
      </c>
      <c r="E58" s="205"/>
    </row>
    <row r="59" spans="1:5" x14ac:dyDescent="0.2">
      <c r="A59" s="371" t="s">
        <v>282</v>
      </c>
      <c r="B59" s="339">
        <v>1818</v>
      </c>
      <c r="C59" s="339"/>
      <c r="D59" s="339">
        <v>2727</v>
      </c>
      <c r="E59" s="205"/>
    </row>
    <row r="60" spans="1:5" x14ac:dyDescent="0.2">
      <c r="A60" s="427" t="s">
        <v>62</v>
      </c>
      <c r="B60" s="110">
        <f>SUM(B57:B59)</f>
        <v>38466</v>
      </c>
      <c r="C60" s="110">
        <f>SUM(C57:C59)</f>
        <v>0</v>
      </c>
      <c r="D60" s="110">
        <v>45896</v>
      </c>
      <c r="E60" s="205"/>
    </row>
    <row r="61" spans="1:5" x14ac:dyDescent="0.2">
      <c r="A61" s="427" t="s">
        <v>292</v>
      </c>
      <c r="B61" s="125">
        <v>-491</v>
      </c>
      <c r="D61" s="110">
        <v>-1129</v>
      </c>
      <c r="E61" s="205"/>
    </row>
    <row r="62" spans="1:5" x14ac:dyDescent="0.2">
      <c r="A62" s="346"/>
      <c r="E62" s="205"/>
    </row>
    <row r="63" spans="1:5" x14ac:dyDescent="0.2">
      <c r="A63" s="427" t="s">
        <v>293</v>
      </c>
      <c r="E63" s="205"/>
    </row>
    <row r="64" spans="1:5" x14ac:dyDescent="0.2">
      <c r="A64" s="427" t="s">
        <v>280</v>
      </c>
      <c r="C64" s="303">
        <v>4000</v>
      </c>
      <c r="D64" s="110">
        <v>0</v>
      </c>
      <c r="E64" s="205"/>
    </row>
    <row r="65" spans="1:6" x14ac:dyDescent="0.2">
      <c r="A65" s="427" t="s">
        <v>281</v>
      </c>
      <c r="C65" s="303">
        <v>12000</v>
      </c>
      <c r="D65" s="110">
        <v>0</v>
      </c>
      <c r="E65" s="205"/>
    </row>
    <row r="66" spans="1:6" x14ac:dyDescent="0.2">
      <c r="A66" s="371" t="s">
        <v>282</v>
      </c>
      <c r="B66" s="338"/>
      <c r="C66" s="340"/>
      <c r="D66" s="339">
        <v>0</v>
      </c>
      <c r="E66" s="205"/>
    </row>
    <row r="67" spans="1:6" x14ac:dyDescent="0.2">
      <c r="A67" s="427" t="s">
        <v>62</v>
      </c>
      <c r="B67" s="110">
        <f>SUM(B64:B66)</f>
        <v>0</v>
      </c>
      <c r="C67" s="303">
        <v>16000</v>
      </c>
      <c r="D67" s="110">
        <f>SUM(D64:D66)</f>
        <v>0</v>
      </c>
      <c r="E67" s="205"/>
    </row>
    <row r="68" spans="1:6" x14ac:dyDescent="0.2">
      <c r="A68" s="427" t="s">
        <v>292</v>
      </c>
      <c r="C68" s="346">
        <v>-223</v>
      </c>
      <c r="D68" s="125">
        <v>0</v>
      </c>
      <c r="E68" s="205"/>
    </row>
    <row r="69" spans="1:6" x14ac:dyDescent="0.2">
      <c r="E69" s="205"/>
    </row>
    <row r="70" spans="1:6" ht="81.75" customHeight="1" x14ac:dyDescent="0.2">
      <c r="A70" s="362" t="s">
        <v>294</v>
      </c>
      <c r="B70" s="362"/>
      <c r="C70" s="362"/>
      <c r="D70" s="362"/>
      <c r="E70" s="362"/>
      <c r="F70" s="362"/>
    </row>
    <row r="71" spans="1:6" ht="56.25" customHeight="1" x14ac:dyDescent="0.2">
      <c r="A71" s="435" t="s">
        <v>295</v>
      </c>
      <c r="B71" s="435"/>
      <c r="C71" s="435"/>
      <c r="D71" s="435"/>
      <c r="E71" s="435"/>
      <c r="F71" s="347"/>
    </row>
    <row r="72" spans="1:6" ht="14.25" customHeight="1" x14ac:dyDescent="0.2">
      <c r="A72" s="362"/>
      <c r="B72" s="362"/>
      <c r="C72" s="362"/>
      <c r="D72" s="362"/>
      <c r="E72" s="362"/>
    </row>
    <row r="73" spans="1:6" x14ac:dyDescent="0.2">
      <c r="A73" s="192" t="s">
        <v>296</v>
      </c>
      <c r="B73" s="192"/>
      <c r="C73" s="192"/>
      <c r="D73" s="192"/>
    </row>
    <row r="74" spans="1:6" x14ac:dyDescent="0.2">
      <c r="A74" s="346"/>
    </row>
    <row r="75" spans="1:6" x14ac:dyDescent="0.2">
      <c r="A75" s="363" t="s">
        <v>297</v>
      </c>
      <c r="B75" s="121" t="str">
        <f>B53</f>
        <v>9/2013</v>
      </c>
      <c r="C75" s="121" t="str">
        <f>C5</f>
        <v>9/2012</v>
      </c>
      <c r="D75" s="121" t="str">
        <f>D5</f>
        <v>12/2012</v>
      </c>
    </row>
    <row r="76" spans="1:6" x14ac:dyDescent="0.2">
      <c r="A76" s="346"/>
    </row>
    <row r="77" spans="1:6" x14ac:dyDescent="0.2">
      <c r="A77" s="344" t="s">
        <v>298</v>
      </c>
      <c r="B77" s="344"/>
      <c r="C77" s="344"/>
      <c r="D77" s="344"/>
    </row>
    <row r="78" spans="1:6" x14ac:dyDescent="0.2">
      <c r="A78" s="344"/>
      <c r="B78" s="344"/>
      <c r="C78" s="344"/>
      <c r="D78" s="344"/>
    </row>
    <row r="79" spans="1:6" x14ac:dyDescent="0.2">
      <c r="A79" s="344" t="s">
        <v>280</v>
      </c>
      <c r="B79" s="348">
        <v>4524</v>
      </c>
      <c r="C79" s="349">
        <v>3816</v>
      </c>
      <c r="D79" s="350">
        <f>1272+2544+1320</f>
        <v>5136</v>
      </c>
    </row>
    <row r="80" spans="1:6" ht="25.5" x14ac:dyDescent="0.2">
      <c r="A80" s="436" t="s">
        <v>281</v>
      </c>
      <c r="B80" s="351">
        <v>0</v>
      </c>
      <c r="C80" s="352">
        <v>636</v>
      </c>
      <c r="D80" s="353">
        <v>660</v>
      </c>
    </row>
    <row r="81" spans="1:5" x14ac:dyDescent="0.2">
      <c r="A81" s="344" t="s">
        <v>62</v>
      </c>
      <c r="B81" s="345">
        <v>4524</v>
      </c>
      <c r="C81" s="349">
        <v>4452</v>
      </c>
      <c r="D81" s="350">
        <f>SUM(D79:D80)</f>
        <v>5796</v>
      </c>
    </row>
    <row r="82" spans="1:5" x14ac:dyDescent="0.2">
      <c r="A82" s="344" t="s">
        <v>299</v>
      </c>
      <c r="B82" s="348">
        <v>16</v>
      </c>
      <c r="C82" s="349">
        <v>356</v>
      </c>
      <c r="D82" s="350">
        <v>136</v>
      </c>
    </row>
    <row r="83" spans="1:5" x14ac:dyDescent="0.2">
      <c r="A83" s="344"/>
      <c r="B83" s="344"/>
      <c r="C83" s="344"/>
      <c r="D83" s="344"/>
    </row>
    <row r="85" spans="1:5" ht="66" customHeight="1" x14ac:dyDescent="0.2">
      <c r="A85" s="435" t="s">
        <v>300</v>
      </c>
      <c r="B85" s="435"/>
      <c r="C85" s="435"/>
      <c r="D85" s="435"/>
      <c r="E85" s="437"/>
    </row>
    <row r="86" spans="1:5" ht="12.75" customHeight="1" x14ac:dyDescent="0.2">
      <c r="A86" s="361"/>
      <c r="B86" s="361"/>
      <c r="C86" s="361"/>
      <c r="D86" s="361"/>
    </row>
    <row r="87" spans="1:5" ht="12.75" customHeight="1" x14ac:dyDescent="0.2">
      <c r="A87" s="431" t="s">
        <v>301</v>
      </c>
      <c r="B87" s="124"/>
      <c r="C87" s="124"/>
      <c r="D87" s="124"/>
    </row>
    <row r="88" spans="1:5" ht="12.75" customHeight="1" x14ac:dyDescent="0.2">
      <c r="A88" s="346"/>
    </row>
    <row r="89" spans="1:5" ht="12.75" customHeight="1" x14ac:dyDescent="0.2">
      <c r="A89" s="363" t="s">
        <v>38</v>
      </c>
      <c r="B89" s="121" t="str">
        <f>B75</f>
        <v>9/2013</v>
      </c>
      <c r="C89" s="354" t="str">
        <f>C75</f>
        <v>9/2012</v>
      </c>
      <c r="D89" s="354" t="str">
        <f>D75</f>
        <v>12/2012</v>
      </c>
      <c r="E89" s="203"/>
    </row>
    <row r="90" spans="1:5" ht="12.75" customHeight="1" x14ac:dyDescent="0.2">
      <c r="A90" s="346"/>
      <c r="E90" s="234"/>
    </row>
    <row r="91" spans="1:5" ht="12.75" customHeight="1" x14ac:dyDescent="0.2">
      <c r="A91" s="126" t="s">
        <v>302</v>
      </c>
      <c r="E91" s="234"/>
    </row>
    <row r="92" spans="1:5" ht="12.75" customHeight="1" x14ac:dyDescent="0.2">
      <c r="A92" s="126" t="s">
        <v>286</v>
      </c>
      <c r="B92" s="125">
        <v>0</v>
      </c>
      <c r="C92" s="125">
        <v>1099</v>
      </c>
      <c r="D92" s="125">
        <v>775</v>
      </c>
      <c r="E92" s="205"/>
    </row>
    <row r="93" spans="1:5" x14ac:dyDescent="0.2">
      <c r="A93" s="126" t="s">
        <v>292</v>
      </c>
      <c r="B93" s="125">
        <v>0</v>
      </c>
      <c r="C93" s="125">
        <v>-6</v>
      </c>
      <c r="D93" s="125">
        <v>4</v>
      </c>
      <c r="E93" s="234"/>
    </row>
    <row r="94" spans="1:5" x14ac:dyDescent="0.2">
      <c r="E94" s="234"/>
    </row>
    <row r="95" spans="1:5" x14ac:dyDescent="0.2">
      <c r="A95" s="438" t="s">
        <v>303</v>
      </c>
      <c r="B95" s="438"/>
      <c r="C95" s="438"/>
      <c r="D95" s="438"/>
    </row>
    <row r="96" spans="1:5" x14ac:dyDescent="0.2">
      <c r="A96" s="346" t="s">
        <v>304</v>
      </c>
      <c r="B96" s="346"/>
      <c r="C96" s="346"/>
      <c r="D96" s="346"/>
    </row>
    <row r="98" spans="1:6" x14ac:dyDescent="0.2">
      <c r="A98" s="126"/>
      <c r="B98" s="126"/>
      <c r="C98" s="199"/>
      <c r="D98" s="199"/>
      <c r="E98" s="199"/>
      <c r="F98" s="199"/>
    </row>
    <row r="99" spans="1:6" x14ac:dyDescent="0.2">
      <c r="A99" s="273"/>
      <c r="B99" s="273"/>
      <c r="C99" s="357"/>
      <c r="D99" s="357"/>
      <c r="E99" s="199"/>
      <c r="F99" s="199"/>
    </row>
    <row r="100" spans="1:6" x14ac:dyDescent="0.2">
      <c r="A100" s="256"/>
      <c r="B100" s="256"/>
      <c r="C100" s="357"/>
      <c r="D100" s="357"/>
      <c r="E100" s="199"/>
      <c r="F100" s="199"/>
    </row>
    <row r="101" spans="1:6" x14ac:dyDescent="0.2">
      <c r="A101" s="274"/>
      <c r="B101" s="203"/>
      <c r="C101" s="276"/>
      <c r="D101" s="277"/>
      <c r="E101" s="275"/>
      <c r="F101" s="199"/>
    </row>
    <row r="102" spans="1:6" x14ac:dyDescent="0.2">
      <c r="A102" s="274"/>
      <c r="B102" s="274"/>
      <c r="C102" s="275"/>
      <c r="D102" s="275"/>
      <c r="E102" s="275"/>
      <c r="F102" s="199"/>
    </row>
    <row r="103" spans="1:6" x14ac:dyDescent="0.2">
      <c r="A103" s="358"/>
      <c r="B103" s="358"/>
      <c r="C103" s="357"/>
      <c r="D103" s="357"/>
      <c r="E103" s="357"/>
      <c r="F103" s="199"/>
    </row>
    <row r="104" spans="1:6" x14ac:dyDescent="0.2">
      <c r="A104" s="256"/>
      <c r="B104" s="256"/>
      <c r="C104" s="205"/>
      <c r="D104" s="205"/>
      <c r="E104" s="256"/>
      <c r="F104" s="199"/>
    </row>
    <row r="105" spans="1:6" x14ac:dyDescent="0.2">
      <c r="A105" s="256"/>
      <c r="B105" s="256"/>
      <c r="C105" s="205"/>
      <c r="D105" s="205"/>
      <c r="E105" s="254"/>
      <c r="F105" s="199"/>
    </row>
    <row r="106" spans="1:6" x14ac:dyDescent="0.2">
      <c r="A106" s="359"/>
      <c r="B106" s="205"/>
      <c r="C106" s="205"/>
      <c r="D106" s="205"/>
      <c r="E106" s="176"/>
      <c r="F106" s="199"/>
    </row>
    <row r="107" spans="1:6" x14ac:dyDescent="0.2">
      <c r="A107" s="359"/>
      <c r="B107" s="359"/>
      <c r="C107" s="205"/>
      <c r="D107" s="205"/>
      <c r="E107" s="176"/>
      <c r="F107" s="199"/>
    </row>
    <row r="108" spans="1:6" x14ac:dyDescent="0.2">
      <c r="A108" s="344"/>
      <c r="B108" s="344"/>
      <c r="C108" s="110"/>
      <c r="D108" s="110"/>
      <c r="E108" s="176"/>
      <c r="F108" s="199"/>
    </row>
    <row r="109" spans="1:6" x14ac:dyDescent="0.2">
      <c r="A109" s="126"/>
      <c r="B109" s="126"/>
      <c r="C109" s="199"/>
      <c r="D109" s="199"/>
      <c r="E109" s="199"/>
      <c r="F109" s="199"/>
    </row>
    <row r="110" spans="1:6" x14ac:dyDescent="0.2">
      <c r="A110" s="126"/>
      <c r="B110" s="126"/>
      <c r="C110" s="199"/>
      <c r="D110" s="199"/>
      <c r="E110" s="199"/>
      <c r="F110" s="199"/>
    </row>
    <row r="111" spans="1:6" x14ac:dyDescent="0.2">
      <c r="A111" s="126"/>
      <c r="B111" s="126"/>
      <c r="C111" s="199"/>
      <c r="D111" s="199"/>
      <c r="E111" s="199"/>
      <c r="F111" s="199"/>
    </row>
  </sheetData>
  <mergeCells count="7">
    <mergeCell ref="A46:D48"/>
    <mergeCell ref="A70:F70"/>
    <mergeCell ref="A71:E71"/>
    <mergeCell ref="A85:E85"/>
    <mergeCell ref="A95:D95"/>
    <mergeCell ref="A86:D86"/>
    <mergeCell ref="A72:E72"/>
  </mergeCells>
  <phoneticPr fontId="8" type="noConversion"/>
  <pageMargins left="0.75" right="0.75" top="0.64" bottom="0.35" header="0.4921259845" footer="0.41"/>
  <pageSetup paperSize="9" scale="5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2">
    <pageSetUpPr fitToPage="1"/>
  </sheetPr>
  <dimension ref="A1:K33"/>
  <sheetViews>
    <sheetView zoomScaleNormal="100" workbookViewId="0"/>
  </sheetViews>
  <sheetFormatPr defaultRowHeight="12.75" x14ac:dyDescent="0.2"/>
  <cols>
    <col min="1" max="1" width="65.42578125" style="132" bestFit="1" customWidth="1"/>
    <col min="2" max="2" width="9.85546875" style="131" customWidth="1"/>
    <col min="3" max="4" width="12.28515625" style="131" customWidth="1"/>
    <col min="5" max="5" width="9.85546875" style="129" customWidth="1"/>
    <col min="6" max="6" width="10.28515625" style="129" customWidth="1"/>
    <col min="7" max="7" width="12.7109375" style="130" bestFit="1" customWidth="1"/>
    <col min="8" max="8" width="9.7109375" style="132" customWidth="1"/>
    <col min="9" max="9" width="9.28515625" style="132" customWidth="1"/>
    <col min="10" max="10" width="26" style="132" customWidth="1"/>
    <col min="11" max="16384" width="9.140625" style="132"/>
  </cols>
  <sheetData>
    <row r="1" spans="1:9" x14ac:dyDescent="0.2">
      <c r="A1" s="128" t="s">
        <v>4</v>
      </c>
      <c r="B1" s="151"/>
      <c r="C1" s="151"/>
      <c r="D1" s="151"/>
      <c r="E1" s="255"/>
    </row>
    <row r="2" spans="1:9" x14ac:dyDescent="0.2">
      <c r="A2" s="128"/>
      <c r="B2" s="151"/>
      <c r="C2" s="151"/>
      <c r="D2" s="151"/>
      <c r="E2" s="255"/>
    </row>
    <row r="3" spans="1:9" ht="15.75" x14ac:dyDescent="0.25">
      <c r="A3" s="155" t="s">
        <v>60</v>
      </c>
      <c r="B3" s="155"/>
      <c r="C3" s="304"/>
      <c r="D3" s="155"/>
      <c r="E3" s="133"/>
      <c r="F3" s="133"/>
      <c r="G3" s="134"/>
      <c r="H3" s="135"/>
    </row>
    <row r="4" spans="1:9" x14ac:dyDescent="0.2">
      <c r="A4" s="226"/>
      <c r="B4" s="227"/>
      <c r="C4" s="306"/>
      <c r="D4" s="227"/>
      <c r="E4" s="307"/>
      <c r="F4" s="228"/>
      <c r="G4" s="132"/>
    </row>
    <row r="5" spans="1:9" x14ac:dyDescent="0.2">
      <c r="A5" s="363" t="s">
        <v>38</v>
      </c>
      <c r="B5" s="136" t="s">
        <v>31</v>
      </c>
      <c r="C5" s="136" t="s">
        <v>24</v>
      </c>
      <c r="D5" s="136" t="s">
        <v>32</v>
      </c>
      <c r="E5" s="136" t="s">
        <v>33</v>
      </c>
      <c r="F5" s="136" t="s">
        <v>26</v>
      </c>
      <c r="G5" s="132"/>
    </row>
    <row r="6" spans="1:9" x14ac:dyDescent="0.2">
      <c r="E6" s="131"/>
      <c r="F6" s="131"/>
      <c r="G6" s="132"/>
    </row>
    <row r="7" spans="1:9" s="131" customFormat="1" ht="12.75" customHeight="1" x14ac:dyDescent="0.2">
      <c r="A7" s="372" t="s">
        <v>53</v>
      </c>
      <c r="B7" s="138">
        <f>+D7-9931</f>
        <v>13590</v>
      </c>
      <c r="C7" s="138">
        <v>15291</v>
      </c>
      <c r="D7" s="138">
        <v>23521</v>
      </c>
      <c r="E7" s="138">
        <v>27396</v>
      </c>
      <c r="F7" s="138">
        <v>34452</v>
      </c>
      <c r="G7" s="140"/>
      <c r="H7" s="137"/>
      <c r="I7" s="129"/>
    </row>
    <row r="8" spans="1:9" s="131" customFormat="1" ht="12.75" customHeight="1" x14ac:dyDescent="0.2">
      <c r="A8" s="223"/>
      <c r="B8" s="138"/>
      <c r="C8" s="138"/>
      <c r="D8" s="138"/>
      <c r="E8" s="138"/>
      <c r="F8" s="138"/>
      <c r="G8" s="140"/>
      <c r="H8" s="137"/>
      <c r="I8" s="129"/>
    </row>
    <row r="9" spans="1:9" s="131" customFormat="1" x14ac:dyDescent="0.2">
      <c r="A9" s="373" t="s">
        <v>68</v>
      </c>
      <c r="B9" s="138"/>
      <c r="C9" s="138"/>
      <c r="D9" s="138"/>
      <c r="E9" s="138"/>
      <c r="F9" s="138"/>
      <c r="G9" s="140"/>
      <c r="H9" s="137"/>
      <c r="I9" s="129"/>
    </row>
    <row r="10" spans="1:9" s="131" customFormat="1" ht="12.75" customHeight="1" x14ac:dyDescent="0.2">
      <c r="A10" s="223"/>
      <c r="B10" s="138"/>
      <c r="C10" s="138"/>
      <c r="D10" s="138"/>
      <c r="E10" s="138"/>
      <c r="F10" s="138"/>
      <c r="G10" s="140"/>
      <c r="H10" s="137"/>
      <c r="I10" s="129"/>
    </row>
    <row r="11" spans="1:9" s="131" customFormat="1" x14ac:dyDescent="0.2">
      <c r="A11" s="377" t="s">
        <v>61</v>
      </c>
      <c r="B11" s="300"/>
      <c r="C11" s="300"/>
      <c r="D11" s="300"/>
      <c r="E11" s="300"/>
      <c r="F11" s="300">
        <v>-189</v>
      </c>
      <c r="G11" s="140"/>
      <c r="H11" s="137"/>
      <c r="I11" s="129"/>
    </row>
    <row r="12" spans="1:9" s="131" customFormat="1" x14ac:dyDescent="0.2">
      <c r="A12" s="374" t="s">
        <v>69</v>
      </c>
      <c r="B12" s="138">
        <f>SUM(B11)</f>
        <v>0</v>
      </c>
      <c r="C12" s="138">
        <f>SUM(C11)</f>
        <v>0</v>
      </c>
      <c r="D12" s="138">
        <f>SUM(D11)</f>
        <v>0</v>
      </c>
      <c r="E12" s="138">
        <f>SUM(E11)</f>
        <v>0</v>
      </c>
      <c r="F12" s="138">
        <f>SUM(F11)</f>
        <v>-189</v>
      </c>
      <c r="G12" s="140"/>
      <c r="H12" s="137"/>
      <c r="I12" s="129"/>
    </row>
    <row r="13" spans="1:9" s="131" customFormat="1" x14ac:dyDescent="0.2">
      <c r="B13" s="138"/>
      <c r="C13" s="138"/>
      <c r="D13" s="138"/>
      <c r="E13" s="138"/>
      <c r="F13" s="138"/>
      <c r="G13" s="140"/>
      <c r="H13" s="137"/>
      <c r="I13" s="129"/>
    </row>
    <row r="14" spans="1:9" s="131" customFormat="1" x14ac:dyDescent="0.2">
      <c r="A14" s="373" t="s">
        <v>70</v>
      </c>
      <c r="B14" s="138"/>
      <c r="C14" s="138"/>
      <c r="D14" s="138"/>
      <c r="E14" s="138"/>
      <c r="F14" s="138"/>
      <c r="G14" s="140"/>
      <c r="H14" s="137"/>
      <c r="I14" s="129"/>
    </row>
    <row r="15" spans="1:9" s="131" customFormat="1" x14ac:dyDescent="0.2">
      <c r="B15" s="138"/>
      <c r="C15" s="138"/>
      <c r="D15" s="138"/>
      <c r="E15" s="138"/>
      <c r="F15" s="138"/>
      <c r="G15" s="140"/>
      <c r="H15" s="137"/>
      <c r="I15" s="129"/>
    </row>
    <row r="16" spans="1:9" s="129" customFormat="1" ht="12.75" customHeight="1" x14ac:dyDescent="0.2">
      <c r="A16" s="375" t="s">
        <v>63</v>
      </c>
      <c r="B16" s="220">
        <f>+D16--256</f>
        <v>375</v>
      </c>
      <c r="C16" s="220">
        <v>1141</v>
      </c>
      <c r="D16" s="220">
        <v>119</v>
      </c>
      <c r="E16" s="220">
        <v>1798</v>
      </c>
      <c r="F16" s="220">
        <v>1098</v>
      </c>
      <c r="G16" s="141"/>
      <c r="H16" s="142"/>
    </row>
    <row r="17" spans="1:11" s="129" customFormat="1" ht="12.75" customHeight="1" x14ac:dyDescent="0.2">
      <c r="A17" s="375" t="s">
        <v>64</v>
      </c>
      <c r="B17" s="220"/>
      <c r="C17" s="220"/>
      <c r="D17" s="220"/>
      <c r="E17" s="220"/>
      <c r="F17" s="220"/>
      <c r="G17" s="141"/>
      <c r="H17" s="142"/>
    </row>
    <row r="18" spans="1:11" s="129" customFormat="1" ht="12.75" customHeight="1" x14ac:dyDescent="0.2">
      <c r="A18" s="220" t="s">
        <v>20</v>
      </c>
      <c r="B18" s="220"/>
      <c r="C18" s="220"/>
      <c r="D18" s="220"/>
      <c r="E18" s="220"/>
      <c r="F18" s="220"/>
      <c r="G18" s="141"/>
      <c r="H18" s="142"/>
    </row>
    <row r="19" spans="1:11" s="129" customFormat="1" ht="12.75" customHeight="1" x14ac:dyDescent="0.2">
      <c r="A19" s="376" t="s">
        <v>65</v>
      </c>
      <c r="B19" s="221">
        <f>+D19--2</f>
        <v>0</v>
      </c>
      <c r="C19" s="221">
        <v>-2</v>
      </c>
      <c r="D19" s="221">
        <v>-2</v>
      </c>
      <c r="E19" s="221">
        <v>1</v>
      </c>
      <c r="F19" s="221">
        <v>2</v>
      </c>
      <c r="G19" s="141"/>
      <c r="H19" s="142"/>
    </row>
    <row r="20" spans="1:11" s="129" customFormat="1" ht="12.75" hidden="1" customHeight="1" x14ac:dyDescent="0.2">
      <c r="A20" s="222" t="s">
        <v>7</v>
      </c>
      <c r="B20" s="222"/>
      <c r="C20" s="222"/>
      <c r="D20" s="222"/>
      <c r="E20" s="222"/>
      <c r="F20" s="222"/>
      <c r="G20" s="141"/>
      <c r="H20" s="142"/>
    </row>
    <row r="21" spans="1:11" s="129" customFormat="1" ht="12.75" customHeight="1" x14ac:dyDescent="0.2">
      <c r="A21" s="375" t="s">
        <v>71</v>
      </c>
      <c r="B21" s="139">
        <f>SUM(B19:B20)</f>
        <v>0</v>
      </c>
      <c r="C21" s="139">
        <f>SUM(C19:C20)</f>
        <v>-2</v>
      </c>
      <c r="D21" s="139">
        <f>SUM(D19:D20)</f>
        <v>-2</v>
      </c>
      <c r="E21" s="139">
        <f>SUM(E19:E20)</f>
        <v>1</v>
      </c>
      <c r="F21" s="139">
        <f>SUM(F19:F20)</f>
        <v>2</v>
      </c>
      <c r="G21" s="141"/>
      <c r="H21" s="142"/>
    </row>
    <row r="22" spans="1:11" s="129" customFormat="1" ht="12.75" customHeight="1" x14ac:dyDescent="0.2">
      <c r="A22" s="374" t="s">
        <v>66</v>
      </c>
      <c r="B22" s="139">
        <f>+D22--831</f>
        <v>642</v>
      </c>
      <c r="C22" s="139">
        <v>688</v>
      </c>
      <c r="D22" s="139">
        <v>-189</v>
      </c>
      <c r="E22" s="139">
        <v>768</v>
      </c>
      <c r="F22" s="139">
        <v>627</v>
      </c>
      <c r="G22" s="141"/>
      <c r="H22" s="142"/>
    </row>
    <row r="23" spans="1:11" s="129" customFormat="1" ht="12.75" customHeight="1" x14ac:dyDescent="0.2">
      <c r="A23" s="377" t="s">
        <v>72</v>
      </c>
      <c r="B23" s="214">
        <f>+D23--16</f>
        <v>-6</v>
      </c>
      <c r="C23" s="214">
        <v>8</v>
      </c>
      <c r="D23" s="214">
        <v>-22</v>
      </c>
      <c r="E23" s="214">
        <v>11</v>
      </c>
      <c r="F23" s="214">
        <v>10</v>
      </c>
      <c r="G23" s="145"/>
      <c r="H23" s="146"/>
    </row>
    <row r="24" spans="1:11" s="135" customFormat="1" ht="12.75" customHeight="1" x14ac:dyDescent="0.2">
      <c r="A24" s="378" t="s">
        <v>73</v>
      </c>
      <c r="B24" s="208">
        <f>B16+B21+B23+B22</f>
        <v>1011</v>
      </c>
      <c r="C24" s="208">
        <f>C16+C21+C23+C22</f>
        <v>1835</v>
      </c>
      <c r="D24" s="208">
        <f>D16+D21+D23+D22</f>
        <v>-94</v>
      </c>
      <c r="E24" s="208">
        <f>E16+E21+E23+E22</f>
        <v>2578</v>
      </c>
      <c r="F24" s="208">
        <f>F16+F21+F23+F22</f>
        <v>1737</v>
      </c>
      <c r="G24" s="147"/>
      <c r="H24" s="147"/>
    </row>
    <row r="25" spans="1:11" s="135" customFormat="1" ht="12.75" customHeight="1" x14ac:dyDescent="0.2">
      <c r="A25" s="373" t="s">
        <v>67</v>
      </c>
      <c r="B25" s="207">
        <f>B7+B24+B12</f>
        <v>14601</v>
      </c>
      <c r="C25" s="207">
        <f>C7+C24+C12</f>
        <v>17126</v>
      </c>
      <c r="D25" s="207">
        <f>D7+D24+D12-1</f>
        <v>23426</v>
      </c>
      <c r="E25" s="207">
        <f>E7+E24+E12</f>
        <v>29974</v>
      </c>
      <c r="F25" s="207">
        <f>F7+F24+F12</f>
        <v>36000</v>
      </c>
      <c r="G25" s="148"/>
      <c r="H25" s="149"/>
    </row>
    <row r="26" spans="1:11" s="135" customFormat="1" ht="12.75" customHeight="1" x14ac:dyDescent="0.2">
      <c r="A26" s="224"/>
      <c r="B26" s="215"/>
      <c r="C26" s="215"/>
      <c r="D26" s="215"/>
      <c r="E26" s="215"/>
      <c r="F26" s="215"/>
      <c r="G26" s="148"/>
      <c r="H26" s="149"/>
    </row>
    <row r="27" spans="1:11" ht="12.75" customHeight="1" x14ac:dyDescent="0.2">
      <c r="A27" s="372" t="s">
        <v>54</v>
      </c>
      <c r="B27" s="216"/>
      <c r="C27" s="216"/>
      <c r="D27" s="216"/>
      <c r="E27" s="216"/>
      <c r="F27" s="216"/>
      <c r="G27" s="135"/>
      <c r="H27" s="150"/>
      <c r="I27" s="135"/>
    </row>
    <row r="28" spans="1:11" ht="12.75" customHeight="1" x14ac:dyDescent="0.2">
      <c r="A28" s="374" t="s">
        <v>55</v>
      </c>
      <c r="B28" s="138">
        <f>+D28-8846</f>
        <v>14605</v>
      </c>
      <c r="C28" s="138">
        <v>17120</v>
      </c>
      <c r="D28" s="138">
        <v>23451</v>
      </c>
      <c r="E28" s="138">
        <v>29971</v>
      </c>
      <c r="F28" s="138">
        <f>+F25-F29</f>
        <v>35997</v>
      </c>
      <c r="G28" s="135"/>
      <c r="H28" s="150"/>
      <c r="I28" s="135"/>
    </row>
    <row r="29" spans="1:11" ht="12.75" customHeight="1" x14ac:dyDescent="0.2">
      <c r="A29" s="374" t="s">
        <v>56</v>
      </c>
      <c r="B29" s="138">
        <f>+D29--20</f>
        <v>-5</v>
      </c>
      <c r="C29" s="138">
        <v>6</v>
      </c>
      <c r="D29" s="138">
        <v>-25</v>
      </c>
      <c r="E29" s="138">
        <v>3</v>
      </c>
      <c r="F29" s="138">
        <v>3</v>
      </c>
      <c r="G29" s="229"/>
      <c r="H29" s="230"/>
      <c r="I29" s="135"/>
      <c r="J29" s="135"/>
      <c r="K29" s="135"/>
    </row>
    <row r="30" spans="1:11" x14ac:dyDescent="0.2">
      <c r="F30" s="139"/>
      <c r="G30" s="209"/>
      <c r="H30" s="230"/>
      <c r="I30" s="230"/>
    </row>
    <row r="32" spans="1:11" x14ac:dyDescent="0.2">
      <c r="A32" s="225"/>
      <c r="B32" s="138"/>
      <c r="C32" s="138"/>
      <c r="D32" s="138"/>
      <c r="E32" s="138"/>
      <c r="F32" s="138"/>
    </row>
    <row r="33" spans="1:6" x14ac:dyDescent="0.2">
      <c r="A33" s="2"/>
      <c r="B33" s="138"/>
      <c r="C33" s="138"/>
      <c r="D33" s="138"/>
      <c r="E33" s="138"/>
      <c r="F33" s="138"/>
    </row>
  </sheetData>
  <phoneticPr fontId="29" type="noConversion"/>
  <pageMargins left="0.72" right="0.42" top="0.98425196850393704" bottom="0" header="0.79" footer="0.4921259845"/>
  <pageSetup paperSize="9" scale="69" orientation="portrait" horizontalDpi="4294967292" vertic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3"/>
  <dimension ref="A1:G90"/>
  <sheetViews>
    <sheetView zoomScaleNormal="100" workbookViewId="0"/>
  </sheetViews>
  <sheetFormatPr defaultRowHeight="12.75" x14ac:dyDescent="0.2"/>
  <cols>
    <col min="1" max="1" width="40.85546875" style="2" customWidth="1"/>
    <col min="2" max="3" width="10.140625" style="2" bestFit="1" customWidth="1"/>
    <col min="4" max="4" width="11" style="63" customWidth="1"/>
    <col min="5" max="16384" width="9.140625" style="2"/>
  </cols>
  <sheetData>
    <row r="1" spans="1:5" x14ac:dyDescent="0.2">
      <c r="A1" s="128" t="s">
        <v>4</v>
      </c>
    </row>
    <row r="3" spans="1:5" ht="15.75" x14ac:dyDescent="0.25">
      <c r="A3" s="173" t="s">
        <v>74</v>
      </c>
      <c r="B3" s="308"/>
      <c r="C3" s="309"/>
      <c r="D3" s="310"/>
    </row>
    <row r="4" spans="1:5" x14ac:dyDescent="0.2">
      <c r="A4" s="10"/>
      <c r="D4" s="253"/>
    </row>
    <row r="5" spans="1:5" x14ac:dyDescent="0.2">
      <c r="A5" s="363" t="s">
        <v>38</v>
      </c>
      <c r="B5" s="66" t="s">
        <v>34</v>
      </c>
      <c r="C5" s="66" t="s">
        <v>35</v>
      </c>
      <c r="D5" s="66" t="s">
        <v>27</v>
      </c>
    </row>
    <row r="6" spans="1:5" x14ac:dyDescent="0.2">
      <c r="A6" s="10"/>
      <c r="B6" s="63"/>
      <c r="C6" s="63"/>
    </row>
    <row r="7" spans="1:5" x14ac:dyDescent="0.2">
      <c r="A7" s="71" t="s">
        <v>75</v>
      </c>
      <c r="B7" s="60"/>
      <c r="C7" s="60"/>
      <c r="D7" s="60"/>
    </row>
    <row r="8" spans="1:5" x14ac:dyDescent="0.2">
      <c r="A8" s="63"/>
      <c r="B8" s="60"/>
      <c r="C8" s="60"/>
      <c r="D8" s="60"/>
    </row>
    <row r="9" spans="1:5" x14ac:dyDescent="0.2">
      <c r="A9" s="71" t="s">
        <v>76</v>
      </c>
      <c r="B9" s="60"/>
      <c r="C9" s="60"/>
      <c r="D9" s="60"/>
    </row>
    <row r="10" spans="1:5" x14ac:dyDescent="0.2">
      <c r="A10" s="71"/>
      <c r="B10" s="60"/>
      <c r="C10" s="60"/>
      <c r="D10" s="60"/>
    </row>
    <row r="11" spans="1:5" x14ac:dyDescent="0.2">
      <c r="A11" s="81" t="s">
        <v>77</v>
      </c>
      <c r="B11" s="60"/>
      <c r="C11" s="60"/>
      <c r="D11" s="60"/>
    </row>
    <row r="12" spans="1:5" x14ac:dyDescent="0.2">
      <c r="A12" s="379" t="s">
        <v>78</v>
      </c>
      <c r="B12" s="60">
        <v>120057</v>
      </c>
      <c r="C12" s="60">
        <v>120212</v>
      </c>
      <c r="D12" s="60">
        <v>120189</v>
      </c>
      <c r="E12" s="5"/>
    </row>
    <row r="13" spans="1:5" x14ac:dyDescent="0.2">
      <c r="A13" s="380" t="s">
        <v>79</v>
      </c>
      <c r="B13" s="60">
        <v>5733</v>
      </c>
      <c r="C13" s="60">
        <v>8241</v>
      </c>
      <c r="D13" s="60">
        <v>7880</v>
      </c>
      <c r="E13" s="5"/>
    </row>
    <row r="14" spans="1:5" x14ac:dyDescent="0.2">
      <c r="A14" s="380" t="s">
        <v>80</v>
      </c>
      <c r="B14" s="60">
        <v>727</v>
      </c>
      <c r="C14" s="60">
        <v>2181</v>
      </c>
      <c r="D14" s="60">
        <v>1810</v>
      </c>
      <c r="E14" s="5"/>
    </row>
    <row r="15" spans="1:5" ht="25.5" x14ac:dyDescent="0.2">
      <c r="A15" s="380" t="s">
        <v>81</v>
      </c>
      <c r="B15" s="60">
        <v>41</v>
      </c>
      <c r="C15" s="60">
        <v>62</v>
      </c>
      <c r="D15" s="60">
        <v>57</v>
      </c>
      <c r="E15" s="5"/>
    </row>
    <row r="16" spans="1:5" x14ac:dyDescent="0.2">
      <c r="A16" s="381" t="s">
        <v>82</v>
      </c>
      <c r="B16" s="61">
        <v>7958</v>
      </c>
      <c r="C16" s="61">
        <v>8590</v>
      </c>
      <c r="D16" s="61">
        <v>8494</v>
      </c>
      <c r="E16" s="5"/>
    </row>
    <row r="17" spans="1:6" x14ac:dyDescent="0.2">
      <c r="A17" s="382"/>
      <c r="B17" s="62">
        <f>SUM(B12:B16)</f>
        <v>134516</v>
      </c>
      <c r="C17" s="62">
        <f>SUM(C12:C16)</f>
        <v>139286</v>
      </c>
      <c r="D17" s="62">
        <f>SUM(D12:D16)</f>
        <v>138430</v>
      </c>
      <c r="E17" s="60"/>
      <c r="F17" s="60"/>
    </row>
    <row r="18" spans="1:6" x14ac:dyDescent="0.2">
      <c r="A18" s="347" t="s">
        <v>83</v>
      </c>
      <c r="B18" s="60"/>
      <c r="C18" s="60"/>
      <c r="D18" s="60"/>
      <c r="E18" s="60"/>
      <c r="F18" s="63"/>
    </row>
    <row r="19" spans="1:6" x14ac:dyDescent="0.2">
      <c r="A19" s="379" t="s">
        <v>84</v>
      </c>
      <c r="B19" s="60">
        <v>3738</v>
      </c>
      <c r="C19" s="60">
        <v>4140</v>
      </c>
      <c r="D19" s="60">
        <v>3844</v>
      </c>
      <c r="E19" s="60"/>
      <c r="F19" s="63"/>
    </row>
    <row r="20" spans="1:6" x14ac:dyDescent="0.2">
      <c r="A20" s="379" t="s">
        <v>85</v>
      </c>
      <c r="B20" s="60">
        <v>49889</v>
      </c>
      <c r="C20" s="60">
        <v>47579</v>
      </c>
      <c r="D20" s="60">
        <v>52393</v>
      </c>
      <c r="E20" s="60"/>
      <c r="F20" s="63"/>
    </row>
    <row r="21" spans="1:6" x14ac:dyDescent="0.2">
      <c r="A21" s="379" t="s">
        <v>86</v>
      </c>
      <c r="B21" s="60">
        <v>115568</v>
      </c>
      <c r="C21" s="60">
        <v>120953</v>
      </c>
      <c r="D21" s="60">
        <v>121179</v>
      </c>
      <c r="E21" s="60"/>
      <c r="F21" s="63"/>
    </row>
    <row r="22" spans="1:6" x14ac:dyDescent="0.2">
      <c r="A22" s="379" t="s">
        <v>87</v>
      </c>
      <c r="B22" s="60">
        <v>86</v>
      </c>
      <c r="C22" s="60">
        <v>87</v>
      </c>
      <c r="D22" s="60">
        <v>86</v>
      </c>
      <c r="E22" s="60"/>
      <c r="F22" s="63"/>
    </row>
    <row r="23" spans="1:6" ht="25.5" x14ac:dyDescent="0.2">
      <c r="A23" s="383" t="s">
        <v>88</v>
      </c>
      <c r="B23" s="61">
        <v>3601</v>
      </c>
      <c r="C23" s="61">
        <v>5893</v>
      </c>
      <c r="D23" s="61">
        <v>2657</v>
      </c>
      <c r="E23" s="60"/>
      <c r="F23" s="63"/>
    </row>
    <row r="24" spans="1:6" x14ac:dyDescent="0.2">
      <c r="A24" s="82"/>
      <c r="B24" s="62">
        <f>SUM(B19:B23)</f>
        <v>172882</v>
      </c>
      <c r="C24" s="62">
        <f>SUM(C19:C23)</f>
        <v>178652</v>
      </c>
      <c r="D24" s="62">
        <f>SUM(D19:D23)</f>
        <v>180159</v>
      </c>
      <c r="E24" s="60"/>
      <c r="F24" s="63"/>
    </row>
    <row r="25" spans="1:6" x14ac:dyDescent="0.2">
      <c r="A25" s="347" t="s">
        <v>89</v>
      </c>
      <c r="B25" s="60"/>
      <c r="C25" s="60"/>
      <c r="D25" s="60"/>
      <c r="E25" s="60"/>
      <c r="F25" s="63"/>
    </row>
    <row r="26" spans="1:6" x14ac:dyDescent="0.2">
      <c r="A26" s="379" t="s">
        <v>90</v>
      </c>
      <c r="B26" s="60">
        <v>4253</v>
      </c>
      <c r="C26" s="60">
        <v>7293</v>
      </c>
      <c r="D26" s="60">
        <v>7284</v>
      </c>
      <c r="E26" s="60"/>
      <c r="F26" s="63"/>
    </row>
    <row r="27" spans="1:6" x14ac:dyDescent="0.2">
      <c r="A27" s="379" t="s">
        <v>91</v>
      </c>
      <c r="B27" s="60">
        <v>3746</v>
      </c>
      <c r="C27" s="60">
        <v>3706</v>
      </c>
      <c r="D27" s="60">
        <v>3608</v>
      </c>
      <c r="E27" s="60"/>
      <c r="F27" s="63"/>
    </row>
    <row r="28" spans="1:6" x14ac:dyDescent="0.2">
      <c r="A28" s="379" t="s">
        <v>92</v>
      </c>
      <c r="B28" s="60">
        <v>2719</v>
      </c>
      <c r="C28" s="60">
        <v>3537</v>
      </c>
      <c r="D28" s="60">
        <v>3845</v>
      </c>
      <c r="E28" s="60"/>
      <c r="F28" s="63"/>
    </row>
    <row r="29" spans="1:6" x14ac:dyDescent="0.2">
      <c r="A29" s="384" t="s">
        <v>93</v>
      </c>
      <c r="B29" s="61">
        <v>5744</v>
      </c>
      <c r="C29" s="61">
        <v>2853</v>
      </c>
      <c r="D29" s="61">
        <v>2755</v>
      </c>
      <c r="E29" s="60"/>
      <c r="F29" s="63"/>
    </row>
    <row r="30" spans="1:6" x14ac:dyDescent="0.2">
      <c r="A30" s="382"/>
      <c r="B30" s="60">
        <f>SUM(B26:B29)</f>
        <v>16462</v>
      </c>
      <c r="C30" s="60">
        <f>SUM(C26:C29)</f>
        <v>17389</v>
      </c>
      <c r="D30" s="60">
        <f>SUM(D26:D29)</f>
        <v>17492</v>
      </c>
      <c r="E30" s="60"/>
      <c r="F30" s="60"/>
    </row>
    <row r="31" spans="1:6" x14ac:dyDescent="0.2">
      <c r="A31" s="382"/>
      <c r="B31" s="60"/>
      <c r="C31" s="60"/>
      <c r="D31" s="60"/>
      <c r="E31" s="60"/>
      <c r="F31" s="63"/>
    </row>
    <row r="32" spans="1:6" x14ac:dyDescent="0.2">
      <c r="A32" s="369" t="s">
        <v>94</v>
      </c>
      <c r="B32" s="62">
        <f>B30+B24+B17</f>
        <v>323860</v>
      </c>
      <c r="C32" s="62">
        <f>C30+C24+C17</f>
        <v>335327</v>
      </c>
      <c r="D32" s="62">
        <f>D30+D24+D17</f>
        <v>336081</v>
      </c>
      <c r="E32" s="60"/>
      <c r="F32" s="60"/>
    </row>
    <row r="33" spans="1:7" x14ac:dyDescent="0.2">
      <c r="A33" s="369"/>
      <c r="B33" s="60"/>
      <c r="C33" s="60"/>
      <c r="D33" s="60"/>
      <c r="E33" s="60"/>
      <c r="F33" s="63"/>
    </row>
    <row r="34" spans="1:7" x14ac:dyDescent="0.2">
      <c r="A34" s="369" t="s">
        <v>95</v>
      </c>
      <c r="B34" s="60"/>
      <c r="C34" s="60"/>
      <c r="D34" s="60"/>
      <c r="E34" s="60"/>
      <c r="F34" s="63"/>
    </row>
    <row r="35" spans="1:7" x14ac:dyDescent="0.2">
      <c r="A35" s="63"/>
      <c r="B35" s="60"/>
      <c r="C35" s="60"/>
      <c r="D35" s="60"/>
      <c r="E35" s="5"/>
    </row>
    <row r="36" spans="1:7" x14ac:dyDescent="0.2">
      <c r="A36" s="63" t="s">
        <v>96</v>
      </c>
      <c r="B36" s="60">
        <v>29326</v>
      </c>
      <c r="C36" s="60">
        <v>29696</v>
      </c>
      <c r="D36" s="60">
        <v>24884</v>
      </c>
      <c r="E36" s="5"/>
    </row>
    <row r="37" spans="1:7" x14ac:dyDescent="0.2">
      <c r="A37" s="81" t="s">
        <v>97</v>
      </c>
      <c r="B37" s="60">
        <v>97358</v>
      </c>
      <c r="C37" s="60">
        <v>106048</v>
      </c>
      <c r="D37" s="60">
        <v>103925</v>
      </c>
      <c r="E37" s="5"/>
      <c r="G37" s="5"/>
    </row>
    <row r="38" spans="1:7" x14ac:dyDescent="0.2">
      <c r="A38" s="81" t="s">
        <v>98</v>
      </c>
      <c r="B38" s="60">
        <v>717</v>
      </c>
      <c r="C38" s="60">
        <v>356</v>
      </c>
      <c r="D38" s="60">
        <v>1290</v>
      </c>
      <c r="E38" s="5"/>
    </row>
    <row r="39" spans="1:7" x14ac:dyDescent="0.2">
      <c r="A39" s="81" t="s">
        <v>99</v>
      </c>
      <c r="B39" s="60">
        <v>2016</v>
      </c>
      <c r="C39" s="60">
        <v>2841</v>
      </c>
      <c r="D39" s="60">
        <v>491</v>
      </c>
      <c r="E39" s="5"/>
    </row>
    <row r="40" spans="1:7" x14ac:dyDescent="0.2">
      <c r="A40" s="81" t="s">
        <v>90</v>
      </c>
      <c r="B40" s="60">
        <v>0</v>
      </c>
      <c r="C40" s="60">
        <v>2400</v>
      </c>
      <c r="D40" s="60">
        <v>2499</v>
      </c>
      <c r="E40" s="5"/>
    </row>
    <row r="41" spans="1:7" x14ac:dyDescent="0.2">
      <c r="A41" s="76" t="s">
        <v>100</v>
      </c>
      <c r="B41" s="61">
        <v>22094</v>
      </c>
      <c r="C41" s="61">
        <v>9326</v>
      </c>
      <c r="D41" s="61">
        <v>12083</v>
      </c>
      <c r="E41" s="5"/>
    </row>
    <row r="42" spans="1:7" x14ac:dyDescent="0.2">
      <c r="A42" s="81"/>
      <c r="B42" s="62"/>
      <c r="C42" s="62"/>
      <c r="D42" s="62"/>
      <c r="E42" s="5"/>
    </row>
    <row r="43" spans="1:7" x14ac:dyDescent="0.2">
      <c r="A43" s="83" t="s">
        <v>101</v>
      </c>
      <c r="B43" s="62">
        <f>SUM(B36:B42)</f>
        <v>151511</v>
      </c>
      <c r="C43" s="62">
        <f>SUM(C36:C42)</f>
        <v>150667</v>
      </c>
      <c r="D43" s="62">
        <f>SUM(D36:D42)</f>
        <v>145172</v>
      </c>
      <c r="E43" s="5"/>
      <c r="F43" s="5"/>
    </row>
    <row r="44" spans="1:7" x14ac:dyDescent="0.2">
      <c r="A44" s="82"/>
      <c r="B44" s="62"/>
      <c r="C44" s="62"/>
      <c r="D44" s="62"/>
      <c r="E44" s="5"/>
    </row>
    <row r="45" spans="1:7" ht="13.5" thickBot="1" x14ac:dyDescent="0.25">
      <c r="A45" s="385" t="s">
        <v>102</v>
      </c>
      <c r="B45" s="67">
        <f>B32+B43</f>
        <v>475371</v>
      </c>
      <c r="C45" s="67">
        <f>C32+C43</f>
        <v>485994</v>
      </c>
      <c r="D45" s="67">
        <f>D32+D43</f>
        <v>481253</v>
      </c>
      <c r="E45" s="5"/>
    </row>
    <row r="46" spans="1:7" x14ac:dyDescent="0.2">
      <c r="A46" s="83"/>
      <c r="B46" s="5"/>
      <c r="C46" s="5"/>
      <c r="D46" s="62"/>
      <c r="E46" s="5"/>
    </row>
    <row r="47" spans="1:7" x14ac:dyDescent="0.2">
      <c r="A47" s="63"/>
      <c r="D47" s="62"/>
      <c r="E47" s="5"/>
    </row>
    <row r="48" spans="1:7" x14ac:dyDescent="0.2">
      <c r="A48" s="83"/>
      <c r="E48" s="5"/>
    </row>
    <row r="49" spans="1:5" x14ac:dyDescent="0.2">
      <c r="A49" s="83"/>
      <c r="E49" s="5"/>
    </row>
    <row r="50" spans="1:5" x14ac:dyDescent="0.2">
      <c r="A50" s="363" t="s">
        <v>38</v>
      </c>
      <c r="B50" s="66" t="str">
        <f>+B5</f>
        <v>9/2013</v>
      </c>
      <c r="C50" s="66" t="str">
        <f>+C5</f>
        <v>9/2012</v>
      </c>
      <c r="D50" s="66" t="str">
        <f>+D5</f>
        <v>12/2012</v>
      </c>
      <c r="E50" s="5"/>
    </row>
    <row r="51" spans="1:5" x14ac:dyDescent="0.2">
      <c r="A51" s="382"/>
      <c r="E51" s="5"/>
    </row>
    <row r="52" spans="1:5" x14ac:dyDescent="0.2">
      <c r="A52" s="369" t="s">
        <v>103</v>
      </c>
      <c r="E52" s="5"/>
    </row>
    <row r="53" spans="1:5" x14ac:dyDescent="0.2">
      <c r="A53" s="63"/>
      <c r="E53" s="5"/>
    </row>
    <row r="54" spans="1:5" x14ac:dyDescent="0.2">
      <c r="A54" s="71" t="s">
        <v>104</v>
      </c>
      <c r="E54" s="5"/>
    </row>
    <row r="55" spans="1:5" x14ac:dyDescent="0.2">
      <c r="A55" s="63"/>
      <c r="E55" s="5"/>
    </row>
    <row r="56" spans="1:5" x14ac:dyDescent="0.2">
      <c r="A56" s="386" t="s">
        <v>105</v>
      </c>
      <c r="E56" s="5"/>
    </row>
    <row r="57" spans="1:5" x14ac:dyDescent="0.2">
      <c r="A57" s="387" t="s">
        <v>106</v>
      </c>
      <c r="B57" s="5">
        <v>19399</v>
      </c>
      <c r="C57" s="5">
        <v>19399</v>
      </c>
      <c r="D57" s="60">
        <v>19399</v>
      </c>
      <c r="E57" s="5"/>
    </row>
    <row r="58" spans="1:5" x14ac:dyDescent="0.2">
      <c r="A58" s="387" t="s">
        <v>107</v>
      </c>
      <c r="B58" s="5"/>
      <c r="C58" s="5"/>
      <c r="D58" s="60"/>
      <c r="E58" s="5"/>
    </row>
    <row r="59" spans="1:5" x14ac:dyDescent="0.2">
      <c r="A59" s="387" t="s">
        <v>108</v>
      </c>
      <c r="B59" s="5">
        <v>-816</v>
      </c>
      <c r="C59" s="5">
        <v>98</v>
      </c>
      <c r="D59" s="60">
        <v>-743</v>
      </c>
      <c r="E59" s="5"/>
    </row>
    <row r="60" spans="1:5" x14ac:dyDescent="0.2">
      <c r="A60" s="387" t="s">
        <v>109</v>
      </c>
      <c r="B60" s="5">
        <v>6103</v>
      </c>
      <c r="C60" s="5">
        <v>29381</v>
      </c>
      <c r="D60" s="60">
        <v>29381</v>
      </c>
      <c r="E60" s="5"/>
    </row>
    <row r="61" spans="1:5" x14ac:dyDescent="0.2">
      <c r="A61" s="387" t="s">
        <v>110</v>
      </c>
      <c r="B61" s="5">
        <v>184273</v>
      </c>
      <c r="C61" s="5">
        <v>150227</v>
      </c>
      <c r="D61" s="60">
        <v>150233</v>
      </c>
      <c r="E61" s="5"/>
    </row>
    <row r="62" spans="1:5" x14ac:dyDescent="0.2">
      <c r="A62" s="388" t="s">
        <v>53</v>
      </c>
      <c r="B62" s="263">
        <v>23524</v>
      </c>
      <c r="C62" s="263">
        <v>27404</v>
      </c>
      <c r="D62" s="61">
        <v>34459</v>
      </c>
      <c r="E62" s="5"/>
    </row>
    <row r="63" spans="1:5" x14ac:dyDescent="0.2">
      <c r="A63" s="368"/>
      <c r="B63" s="62">
        <f>SUM(B57:B62)</f>
        <v>232483</v>
      </c>
      <c r="C63" s="62">
        <f>SUM(C57:C62)</f>
        <v>226509</v>
      </c>
      <c r="D63" s="62">
        <f>SUM(D57:D62)</f>
        <v>232729</v>
      </c>
      <c r="E63" s="5"/>
    </row>
    <row r="64" spans="1:5" x14ac:dyDescent="0.2">
      <c r="A64" s="299" t="s">
        <v>56</v>
      </c>
      <c r="B64" s="263">
        <v>249</v>
      </c>
      <c r="C64" s="61">
        <v>274</v>
      </c>
      <c r="D64" s="61">
        <v>274</v>
      </c>
      <c r="E64" s="5"/>
    </row>
    <row r="65" spans="1:7" x14ac:dyDescent="0.2">
      <c r="A65" s="83"/>
      <c r="B65" s="5"/>
      <c r="D65" s="62"/>
      <c r="E65" s="5"/>
    </row>
    <row r="66" spans="1:7" x14ac:dyDescent="0.2">
      <c r="A66" s="369" t="s">
        <v>111</v>
      </c>
      <c r="B66" s="60">
        <f>+B64+B63</f>
        <v>232732</v>
      </c>
      <c r="C66" s="60">
        <f>+C64+C63</f>
        <v>226783</v>
      </c>
      <c r="D66" s="60">
        <f>+D64+D63</f>
        <v>233003</v>
      </c>
      <c r="E66" s="5"/>
    </row>
    <row r="67" spans="1:7" x14ac:dyDescent="0.2">
      <c r="A67" s="369"/>
      <c r="B67" s="5"/>
      <c r="D67" s="60"/>
      <c r="E67" s="5"/>
    </row>
    <row r="68" spans="1:7" x14ac:dyDescent="0.2">
      <c r="A68" s="369" t="s">
        <v>112</v>
      </c>
      <c r="B68" s="5"/>
      <c r="D68" s="60"/>
      <c r="E68" s="5"/>
    </row>
    <row r="69" spans="1:7" x14ac:dyDescent="0.2">
      <c r="A69" s="389"/>
      <c r="B69" s="5"/>
      <c r="D69" s="60"/>
      <c r="E69" s="5"/>
    </row>
    <row r="70" spans="1:7" x14ac:dyDescent="0.2">
      <c r="A70" s="81" t="s">
        <v>113</v>
      </c>
      <c r="B70" s="5"/>
      <c r="D70" s="60"/>
      <c r="E70" s="5"/>
    </row>
    <row r="71" spans="1:7" x14ac:dyDescent="0.2">
      <c r="A71" s="387" t="s">
        <v>114</v>
      </c>
      <c r="B71" s="5">
        <v>31116</v>
      </c>
      <c r="C71" s="5">
        <v>30586</v>
      </c>
      <c r="D71" s="60">
        <v>31313</v>
      </c>
      <c r="E71" s="5"/>
    </row>
    <row r="72" spans="1:7" x14ac:dyDescent="0.2">
      <c r="A72" s="387" t="s">
        <v>115</v>
      </c>
      <c r="B72" s="5">
        <v>899</v>
      </c>
      <c r="C72" s="5">
        <v>665</v>
      </c>
      <c r="D72" s="60">
        <v>672</v>
      </c>
      <c r="E72" s="5"/>
    </row>
    <row r="73" spans="1:7" x14ac:dyDescent="0.2">
      <c r="A73" s="387" t="s">
        <v>116</v>
      </c>
      <c r="B73" s="5">
        <v>4068</v>
      </c>
      <c r="C73" s="5">
        <v>2835</v>
      </c>
      <c r="D73" s="60">
        <v>4304</v>
      </c>
      <c r="E73" s="5"/>
    </row>
    <row r="74" spans="1:7" x14ac:dyDescent="0.2">
      <c r="A74" s="387" t="s">
        <v>117</v>
      </c>
      <c r="B74" s="5">
        <v>39898</v>
      </c>
      <c r="C74" s="5">
        <v>67575</v>
      </c>
      <c r="D74" s="60">
        <v>57961</v>
      </c>
      <c r="E74" s="5"/>
    </row>
    <row r="75" spans="1:7" x14ac:dyDescent="0.2">
      <c r="A75" s="388" t="s">
        <v>118</v>
      </c>
      <c r="B75" s="5">
        <v>858</v>
      </c>
      <c r="C75" s="5">
        <v>970</v>
      </c>
      <c r="D75" s="61">
        <v>942</v>
      </c>
      <c r="E75" s="5"/>
    </row>
    <row r="76" spans="1:7" x14ac:dyDescent="0.2">
      <c r="A76" s="63"/>
      <c r="B76" s="64">
        <f>SUM(B71:B75)</f>
        <v>76839</v>
      </c>
      <c r="C76" s="64">
        <f>SUM(C71:C75)</f>
        <v>102631</v>
      </c>
      <c r="D76" s="64">
        <f>SUM(D71:D75)</f>
        <v>95192</v>
      </c>
      <c r="E76" s="5"/>
    </row>
    <row r="77" spans="1:7" x14ac:dyDescent="0.2">
      <c r="A77" s="81" t="s">
        <v>119</v>
      </c>
      <c r="B77" s="5"/>
      <c r="D77" s="60"/>
      <c r="E77" s="5"/>
    </row>
    <row r="78" spans="1:7" x14ac:dyDescent="0.2">
      <c r="A78" s="387" t="s">
        <v>117</v>
      </c>
      <c r="B78" s="5">
        <v>47493</v>
      </c>
      <c r="C78" s="60">
        <v>46431</v>
      </c>
      <c r="D78" s="60">
        <v>38915</v>
      </c>
      <c r="E78" s="5"/>
    </row>
    <row r="79" spans="1:7" x14ac:dyDescent="0.2">
      <c r="A79" s="387" t="s">
        <v>120</v>
      </c>
      <c r="B79" s="5">
        <v>117689</v>
      </c>
      <c r="C79" s="60">
        <v>110321</v>
      </c>
      <c r="D79" s="60">
        <v>112880</v>
      </c>
      <c r="E79" s="5"/>
      <c r="G79" s="5"/>
    </row>
    <row r="80" spans="1:7" x14ac:dyDescent="0.2">
      <c r="A80" s="387" t="s">
        <v>121</v>
      </c>
      <c r="B80" s="5">
        <v>491</v>
      </c>
      <c r="C80" s="60">
        <v>-482</v>
      </c>
      <c r="D80" s="60">
        <v>1129</v>
      </c>
      <c r="E80" s="5"/>
    </row>
    <row r="81" spans="1:5" x14ac:dyDescent="0.2">
      <c r="A81" s="387" t="s">
        <v>122</v>
      </c>
      <c r="B81" s="5">
        <v>2</v>
      </c>
      <c r="C81" s="60">
        <v>14</v>
      </c>
      <c r="D81" s="60">
        <v>14</v>
      </c>
      <c r="E81" s="5"/>
    </row>
    <row r="82" spans="1:5" x14ac:dyDescent="0.2">
      <c r="A82" s="388" t="s">
        <v>116</v>
      </c>
      <c r="B82" s="61">
        <v>125</v>
      </c>
      <c r="C82" s="61">
        <v>296</v>
      </c>
      <c r="D82" s="61">
        <v>120</v>
      </c>
      <c r="E82" s="5"/>
    </row>
    <row r="83" spans="1:5" x14ac:dyDescent="0.2">
      <c r="A83" s="82"/>
      <c r="B83" s="62">
        <f>SUM(B78:B82)</f>
        <v>165800</v>
      </c>
      <c r="C83" s="62">
        <f>SUM(C78:C82)</f>
        <v>156580</v>
      </c>
      <c r="D83" s="62">
        <f>SUM(D78:D82)</f>
        <v>153058</v>
      </c>
      <c r="E83" s="5"/>
    </row>
    <row r="84" spans="1:5" x14ac:dyDescent="0.2">
      <c r="A84" s="82"/>
      <c r="B84" s="5"/>
      <c r="D84" s="60"/>
      <c r="E84" s="5"/>
    </row>
    <row r="85" spans="1:5" x14ac:dyDescent="0.2">
      <c r="A85" s="83" t="s">
        <v>123</v>
      </c>
      <c r="B85" s="62">
        <f>+B76+B83</f>
        <v>242639</v>
      </c>
      <c r="C85" s="62">
        <f>+C76+C83</f>
        <v>259211</v>
      </c>
      <c r="D85" s="62">
        <f>+D76+D83</f>
        <v>248250</v>
      </c>
      <c r="E85" s="5"/>
    </row>
    <row r="86" spans="1:5" x14ac:dyDescent="0.2">
      <c r="A86" s="382"/>
      <c r="B86" s="62"/>
      <c r="C86" s="62"/>
      <c r="D86" s="60"/>
      <c r="E86" s="5"/>
    </row>
    <row r="87" spans="1:5" ht="13.5" thickBot="1" x14ac:dyDescent="0.25">
      <c r="A87" s="385" t="s">
        <v>124</v>
      </c>
      <c r="B87" s="67">
        <f>B63+B64+B85</f>
        <v>475371</v>
      </c>
      <c r="C87" s="67">
        <f>C63+C64+C85</f>
        <v>485994</v>
      </c>
      <c r="D87" s="67">
        <f>D63+D64+D85</f>
        <v>481253</v>
      </c>
      <c r="E87" s="5"/>
    </row>
    <row r="88" spans="1:5" x14ac:dyDescent="0.2">
      <c r="A88" s="3"/>
      <c r="B88" s="281"/>
      <c r="C88" s="174"/>
      <c r="D88" s="174"/>
      <c r="E88" s="5"/>
    </row>
    <row r="89" spans="1:5" x14ac:dyDescent="0.2">
      <c r="B89" s="60">
        <f>+B45-B87</f>
        <v>0</v>
      </c>
      <c r="C89" s="60">
        <f>+C45-C87</f>
        <v>0</v>
      </c>
      <c r="D89" s="60">
        <f>+D45-D87</f>
        <v>0</v>
      </c>
      <c r="E89" s="5"/>
    </row>
    <row r="90" spans="1:5" x14ac:dyDescent="0.2">
      <c r="A90" s="3"/>
      <c r="D90" s="174"/>
    </row>
  </sheetData>
  <phoneticPr fontId="3" type="noConversion"/>
  <pageMargins left="0.99" right="0.27" top="0.98425196850393704" bottom="0" header="0.77" footer="0.4921259845"/>
  <pageSetup paperSize="9" scale="94" fitToHeight="7" orientation="portrait" horizontalDpi="1200" verticalDpi="1200" r:id="rId1"/>
  <headerFooter alignWithMargins="0"/>
  <rowBreaks count="1" manualBreakCount="1">
    <brk id="47"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4">
    <pageSetUpPr fitToPage="1"/>
  </sheetPr>
  <dimension ref="A1:N41"/>
  <sheetViews>
    <sheetView zoomScale="80" zoomScaleNormal="100" workbookViewId="0"/>
  </sheetViews>
  <sheetFormatPr defaultColWidth="11.42578125" defaultRowHeight="15" x14ac:dyDescent="0.2"/>
  <cols>
    <col min="1" max="1" width="47.85546875" style="244" customWidth="1"/>
    <col min="2" max="4" width="12.28515625" style="244" customWidth="1"/>
    <col min="5" max="7" width="13.140625" style="244" customWidth="1"/>
    <col min="8" max="9" width="12.28515625" style="244" customWidth="1"/>
    <col min="10" max="10" width="13.140625" style="244" customWidth="1"/>
    <col min="11" max="11" width="12.28515625" style="244" customWidth="1"/>
    <col min="12" max="12" width="13" style="244" customWidth="1"/>
    <col min="13" max="13" width="15.7109375" style="244" customWidth="1"/>
    <col min="14" max="16384" width="11.42578125" style="244"/>
  </cols>
  <sheetData>
    <row r="1" spans="1:14" ht="12.75" customHeight="1" x14ac:dyDescent="0.2">
      <c r="A1" s="151" t="s">
        <v>4</v>
      </c>
      <c r="C1" s="152"/>
      <c r="D1" s="152"/>
      <c r="E1" s="153"/>
      <c r="F1" s="153"/>
      <c r="G1" s="153"/>
      <c r="H1" s="153"/>
      <c r="I1" s="153"/>
      <c r="J1" s="153"/>
      <c r="K1" s="153"/>
      <c r="L1" s="153"/>
    </row>
    <row r="2" spans="1:14" ht="12.75" customHeight="1" x14ac:dyDescent="0.2">
      <c r="A2" s="151"/>
      <c r="C2" s="152"/>
      <c r="D2" s="152"/>
      <c r="E2" s="152"/>
      <c r="F2" s="153"/>
      <c r="G2" s="153"/>
      <c r="H2" s="153"/>
      <c r="I2" s="153"/>
      <c r="J2" s="153"/>
      <c r="K2" s="153"/>
      <c r="L2" s="153"/>
    </row>
    <row r="3" spans="1:14" ht="17.25" customHeight="1" x14ac:dyDescent="0.25">
      <c r="A3" s="155" t="s">
        <v>125</v>
      </c>
      <c r="B3" s="152"/>
      <c r="C3" s="152"/>
      <c r="D3" s="152"/>
      <c r="E3" s="153"/>
      <c r="F3" s="153"/>
      <c r="G3" s="153"/>
      <c r="H3" s="153"/>
      <c r="I3" s="154"/>
      <c r="J3" s="153"/>
      <c r="K3" s="153"/>
      <c r="L3" s="153"/>
    </row>
    <row r="4" spans="1:14" ht="12.75" customHeight="1" x14ac:dyDescent="0.25">
      <c r="A4" s="155"/>
      <c r="B4" s="152"/>
      <c r="C4" s="152"/>
      <c r="D4" s="152"/>
      <c r="E4" s="153"/>
      <c r="F4" s="153"/>
      <c r="G4" s="153"/>
      <c r="H4" s="153"/>
      <c r="I4" s="154"/>
      <c r="J4" s="153"/>
      <c r="K4" s="153"/>
      <c r="L4" s="153"/>
    </row>
    <row r="5" spans="1:14" ht="52.5" customHeight="1" x14ac:dyDescent="0.2">
      <c r="A5" s="363" t="s">
        <v>38</v>
      </c>
      <c r="B5" s="156" t="s">
        <v>106</v>
      </c>
      <c r="C5" s="157" t="s">
        <v>107</v>
      </c>
      <c r="D5" s="156" t="s">
        <v>66</v>
      </c>
      <c r="E5" s="156" t="s">
        <v>64</v>
      </c>
      <c r="F5" s="156" t="s">
        <v>126</v>
      </c>
      <c r="G5" s="156" t="s">
        <v>127</v>
      </c>
      <c r="H5" s="157" t="s">
        <v>110</v>
      </c>
      <c r="I5" s="156" t="s">
        <v>128</v>
      </c>
      <c r="J5" s="157" t="s">
        <v>56</v>
      </c>
      <c r="K5" s="157" t="s">
        <v>111</v>
      </c>
      <c r="L5" s="158"/>
    </row>
    <row r="6" spans="1:14" ht="12.75" customHeight="1" x14ac:dyDescent="0.2">
      <c r="A6" s="153"/>
      <c r="B6" s="153"/>
      <c r="C6" s="153"/>
      <c r="D6" s="153"/>
      <c r="E6" s="153"/>
      <c r="F6" s="153"/>
      <c r="G6" s="153"/>
      <c r="H6" s="153"/>
      <c r="I6" s="153"/>
      <c r="J6" s="153"/>
      <c r="K6" s="153"/>
      <c r="L6" s="159"/>
    </row>
    <row r="7" spans="1:14" ht="12.75" customHeight="1" x14ac:dyDescent="0.2">
      <c r="A7" s="390" t="s">
        <v>129</v>
      </c>
      <c r="B7" s="160">
        <v>19399</v>
      </c>
      <c r="C7" s="160">
        <v>0</v>
      </c>
      <c r="D7" s="160">
        <v>-785</v>
      </c>
      <c r="E7" s="160">
        <v>2</v>
      </c>
      <c r="F7" s="160">
        <v>41</v>
      </c>
      <c r="G7" s="160">
        <v>29381</v>
      </c>
      <c r="H7" s="160">
        <v>184692</v>
      </c>
      <c r="I7" s="160">
        <v>232729</v>
      </c>
      <c r="J7" s="160">
        <v>274</v>
      </c>
      <c r="K7" s="160">
        <v>233003</v>
      </c>
      <c r="L7" s="143"/>
    </row>
    <row r="8" spans="1:14" ht="12.75" customHeight="1" x14ac:dyDescent="0.2">
      <c r="A8" s="391" t="s">
        <v>130</v>
      </c>
      <c r="B8" s="311"/>
      <c r="C8" s="311"/>
      <c r="D8" s="311"/>
      <c r="E8" s="311"/>
      <c r="F8" s="311"/>
      <c r="G8" s="311"/>
      <c r="H8" s="311">
        <v>-189</v>
      </c>
      <c r="I8" s="311">
        <f>H8</f>
        <v>-189</v>
      </c>
      <c r="J8" s="311"/>
      <c r="K8" s="311">
        <f>I8</f>
        <v>-189</v>
      </c>
      <c r="L8" s="143"/>
    </row>
    <row r="9" spans="1:14" ht="12.75" customHeight="1" x14ac:dyDescent="0.2">
      <c r="A9" s="152" t="s">
        <v>129</v>
      </c>
      <c r="B9" s="160">
        <f>SUM(B7:B8)</f>
        <v>19399</v>
      </c>
      <c r="C9" s="160">
        <f t="shared" ref="C9:K9" si="0">SUM(C7:C8)</f>
        <v>0</v>
      </c>
      <c r="D9" s="160">
        <f t="shared" si="0"/>
        <v>-785</v>
      </c>
      <c r="E9" s="160">
        <f t="shared" si="0"/>
        <v>2</v>
      </c>
      <c r="F9" s="160">
        <f t="shared" si="0"/>
        <v>41</v>
      </c>
      <c r="G9" s="160">
        <f t="shared" si="0"/>
        <v>29381</v>
      </c>
      <c r="H9" s="160">
        <f t="shared" si="0"/>
        <v>184503</v>
      </c>
      <c r="I9" s="160">
        <f t="shared" si="0"/>
        <v>232540</v>
      </c>
      <c r="J9" s="160">
        <f t="shared" si="0"/>
        <v>274</v>
      </c>
      <c r="K9" s="160">
        <f t="shared" si="0"/>
        <v>232814</v>
      </c>
      <c r="L9" s="143"/>
    </row>
    <row r="10" spans="1:14" ht="12.75" customHeight="1" x14ac:dyDescent="0.2">
      <c r="A10" s="152"/>
      <c r="B10" s="160"/>
      <c r="C10" s="160"/>
      <c r="D10" s="160"/>
      <c r="E10" s="160"/>
      <c r="F10" s="160"/>
      <c r="G10" s="160"/>
      <c r="H10" s="160"/>
      <c r="I10" s="160"/>
      <c r="J10" s="160"/>
      <c r="K10" s="160"/>
      <c r="L10" s="143"/>
    </row>
    <row r="11" spans="1:14" ht="27.75" customHeight="1" x14ac:dyDescent="0.2">
      <c r="A11" s="198" t="s">
        <v>131</v>
      </c>
      <c r="B11" s="143"/>
      <c r="C11" s="143"/>
      <c r="D11" s="143"/>
      <c r="E11" s="143"/>
      <c r="F11" s="143"/>
      <c r="G11" s="143">
        <v>-57</v>
      </c>
      <c r="H11" s="143">
        <v>-530</v>
      </c>
      <c r="I11" s="143">
        <f>SUM(B11:H11)</f>
        <v>-587</v>
      </c>
      <c r="J11" s="143"/>
      <c r="K11" s="143">
        <f>SUM(I11:J11)</f>
        <v>-587</v>
      </c>
      <c r="L11" s="143"/>
      <c r="M11" s="246"/>
    </row>
    <row r="12" spans="1:14" ht="15" hidden="1" customHeight="1" x14ac:dyDescent="0.2">
      <c r="A12" s="198" t="s">
        <v>13</v>
      </c>
      <c r="B12" s="143"/>
      <c r="C12" s="143"/>
      <c r="D12" s="143"/>
      <c r="E12" s="143"/>
      <c r="F12" s="143"/>
      <c r="G12" s="143"/>
      <c r="H12" s="143"/>
      <c r="I12" s="143"/>
      <c r="J12" s="143"/>
      <c r="K12" s="143"/>
      <c r="L12" s="143"/>
    </row>
    <row r="13" spans="1:14" ht="12.75" customHeight="1" x14ac:dyDescent="0.2">
      <c r="A13" s="159" t="s">
        <v>132</v>
      </c>
      <c r="B13" s="143"/>
      <c r="C13" s="143"/>
      <c r="D13" s="143"/>
      <c r="E13" s="143"/>
      <c r="F13" s="143"/>
      <c r="G13" s="143">
        <f>-23221</f>
        <v>-23221</v>
      </c>
      <c r="H13" s="143">
        <v>299</v>
      </c>
      <c r="I13" s="143">
        <f>SUM(B13:H13)</f>
        <v>-22922</v>
      </c>
      <c r="J13" s="245"/>
      <c r="K13" s="143">
        <f>SUM(I13:J13)</f>
        <v>-22922</v>
      </c>
      <c r="L13" s="162"/>
    </row>
    <row r="14" spans="1:14" ht="12.75" customHeight="1" x14ac:dyDescent="0.2">
      <c r="A14" s="161" t="s">
        <v>133</v>
      </c>
      <c r="B14" s="161"/>
      <c r="C14" s="161"/>
      <c r="D14" s="161">
        <v>-189</v>
      </c>
      <c r="E14" s="161">
        <v>-2</v>
      </c>
      <c r="F14" s="161">
        <f>142-24</f>
        <v>118</v>
      </c>
      <c r="G14" s="161"/>
      <c r="H14" s="161">
        <f>23524</f>
        <v>23524</v>
      </c>
      <c r="I14" s="143">
        <f>SUM(B14:H14)</f>
        <v>23451</v>
      </c>
      <c r="J14" s="161">
        <v>-25</v>
      </c>
      <c r="K14" s="143">
        <f>SUM(I14:J14)</f>
        <v>23426</v>
      </c>
      <c r="L14" s="246"/>
      <c r="M14" s="246"/>
    </row>
    <row r="15" spans="1:14" ht="12.75" customHeight="1" x14ac:dyDescent="0.2">
      <c r="A15" s="161" t="s">
        <v>134</v>
      </c>
      <c r="B15" s="161"/>
      <c r="C15" s="161"/>
      <c r="D15" s="161"/>
      <c r="E15" s="161"/>
      <c r="F15" s="161"/>
      <c r="G15" s="161"/>
      <c r="H15" s="161">
        <v>1</v>
      </c>
      <c r="I15" s="143">
        <f>SUM(B15:H15)</f>
        <v>1</v>
      </c>
      <c r="J15" s="161"/>
      <c r="K15" s="143">
        <f>SUM(I15:J15)</f>
        <v>1</v>
      </c>
      <c r="L15" s="246"/>
      <c r="M15" s="246"/>
    </row>
    <row r="16" spans="1:14" ht="12.75" customHeight="1" x14ac:dyDescent="0.2">
      <c r="A16" s="163"/>
      <c r="B16" s="144"/>
      <c r="C16" s="144"/>
      <c r="D16" s="144"/>
      <c r="E16" s="144"/>
      <c r="F16" s="144"/>
      <c r="G16" s="144"/>
      <c r="H16" s="144"/>
      <c r="I16" s="144"/>
      <c r="J16" s="144"/>
      <c r="K16" s="144"/>
      <c r="L16" s="246"/>
      <c r="M16" s="246"/>
      <c r="N16" s="161"/>
    </row>
    <row r="17" spans="1:13" ht="12.75" customHeight="1" x14ac:dyDescent="0.2">
      <c r="A17" s="152" t="s">
        <v>135</v>
      </c>
      <c r="B17" s="160">
        <f t="shared" ref="B17:K17" si="1">SUM(B9:B16)</f>
        <v>19399</v>
      </c>
      <c r="C17" s="160">
        <f t="shared" si="1"/>
        <v>0</v>
      </c>
      <c r="D17" s="160">
        <f>SUM(D9:D16)</f>
        <v>-974</v>
      </c>
      <c r="E17" s="160">
        <f>SUM(E9:E16)</f>
        <v>0</v>
      </c>
      <c r="F17" s="160">
        <f>SUM(F9:F16)</f>
        <v>159</v>
      </c>
      <c r="G17" s="160">
        <f>SUM(G9:G16)</f>
        <v>6103</v>
      </c>
      <c r="H17" s="160">
        <f t="shared" si="1"/>
        <v>207797</v>
      </c>
      <c r="I17" s="160">
        <f t="shared" si="1"/>
        <v>232483</v>
      </c>
      <c r="J17" s="160">
        <f t="shared" si="1"/>
        <v>249</v>
      </c>
      <c r="K17" s="160">
        <f t="shared" si="1"/>
        <v>232732</v>
      </c>
      <c r="L17" s="246"/>
      <c r="M17" s="246"/>
    </row>
    <row r="18" spans="1:13" ht="12.75" customHeight="1" x14ac:dyDescent="0.2">
      <c r="B18" s="246"/>
      <c r="C18" s="246"/>
      <c r="D18" s="246"/>
      <c r="E18" s="246"/>
      <c r="F18" s="246"/>
      <c r="G18" s="246"/>
      <c r="H18" s="246"/>
      <c r="I18" s="246"/>
      <c r="J18" s="246"/>
      <c r="K18" s="246"/>
      <c r="L18" s="246"/>
    </row>
    <row r="19" spans="1:13" ht="12.75" customHeight="1" x14ac:dyDescent="0.2">
      <c r="B19" s="246"/>
      <c r="C19" s="246"/>
      <c r="D19" s="246"/>
      <c r="E19" s="246"/>
      <c r="F19" s="246"/>
      <c r="G19" s="246"/>
      <c r="H19" s="246"/>
      <c r="I19" s="246"/>
      <c r="J19" s="246"/>
      <c r="K19" s="246"/>
      <c r="L19" s="246"/>
    </row>
    <row r="20" spans="1:13" ht="12.75" customHeight="1" x14ac:dyDescent="0.2">
      <c r="B20" s="161"/>
      <c r="C20" s="161"/>
      <c r="D20" s="161"/>
    </row>
    <row r="21" spans="1:13" ht="12.75" customHeight="1" x14ac:dyDescent="0.2">
      <c r="A21" s="392" t="s">
        <v>129</v>
      </c>
      <c r="B21" s="160">
        <v>19399</v>
      </c>
      <c r="C21" s="160">
        <v>0</v>
      </c>
      <c r="D21" s="160">
        <v>-1412</v>
      </c>
      <c r="E21" s="160">
        <v>0</v>
      </c>
      <c r="F21" s="160">
        <v>-1057</v>
      </c>
      <c r="G21" s="160">
        <v>50658</v>
      </c>
      <c r="H21" s="160">
        <v>150085</v>
      </c>
      <c r="I21" s="160">
        <f>SUM(B21:H21)</f>
        <v>217673</v>
      </c>
      <c r="J21" s="160">
        <v>271</v>
      </c>
      <c r="K21" s="160">
        <f>SUM(I21:J21)</f>
        <v>217944</v>
      </c>
      <c r="L21" s="143"/>
    </row>
    <row r="22" spans="1:13" ht="12.75" customHeight="1" x14ac:dyDescent="0.2">
      <c r="A22" s="152"/>
      <c r="B22" s="160"/>
      <c r="C22" s="160"/>
      <c r="D22" s="160"/>
      <c r="E22" s="160"/>
      <c r="F22" s="160"/>
      <c r="G22" s="160"/>
      <c r="H22" s="160"/>
      <c r="I22" s="160"/>
      <c r="J22" s="160"/>
      <c r="K22" s="160"/>
      <c r="L22" s="143"/>
    </row>
    <row r="23" spans="1:13" ht="12.75" customHeight="1" x14ac:dyDescent="0.2">
      <c r="A23" s="391" t="s">
        <v>130</v>
      </c>
      <c r="B23" s="311"/>
      <c r="C23" s="311"/>
      <c r="D23" s="311"/>
      <c r="E23" s="311"/>
      <c r="F23" s="311"/>
      <c r="G23" s="311"/>
      <c r="H23" s="311">
        <v>93</v>
      </c>
      <c r="I23" s="311">
        <v>93</v>
      </c>
      <c r="J23" s="311"/>
      <c r="K23" s="311">
        <f>I23</f>
        <v>93</v>
      </c>
      <c r="L23" s="143"/>
    </row>
    <row r="24" spans="1:13" ht="12.75" customHeight="1" x14ac:dyDescent="0.2">
      <c r="A24" s="153"/>
      <c r="I24" s="143"/>
      <c r="L24" s="143"/>
    </row>
    <row r="25" spans="1:13" ht="27.75" customHeight="1" x14ac:dyDescent="0.2">
      <c r="A25" s="198" t="s">
        <v>131</v>
      </c>
      <c r="B25" s="143"/>
      <c r="C25" s="143"/>
      <c r="D25" s="143"/>
      <c r="E25" s="143"/>
      <c r="F25" s="143"/>
      <c r="G25" s="143"/>
      <c r="H25" s="143">
        <v>120</v>
      </c>
      <c r="I25" s="143">
        <v>120</v>
      </c>
      <c r="J25" s="143"/>
      <c r="K25" s="143">
        <v>120</v>
      </c>
      <c r="L25" s="143"/>
    </row>
    <row r="26" spans="1:13" ht="15" hidden="1" customHeight="1" x14ac:dyDescent="0.2">
      <c r="A26" s="198" t="s">
        <v>13</v>
      </c>
      <c r="B26" s="143"/>
      <c r="C26" s="143"/>
      <c r="D26" s="143"/>
      <c r="E26" s="143"/>
      <c r="F26" s="143"/>
      <c r="G26" s="143"/>
      <c r="H26" s="143"/>
      <c r="I26" s="143"/>
      <c r="J26" s="143"/>
      <c r="K26" s="143"/>
      <c r="L26" s="143"/>
    </row>
    <row r="27" spans="1:13" ht="12.75" customHeight="1" x14ac:dyDescent="0.2">
      <c r="A27" s="159" t="s">
        <v>132</v>
      </c>
      <c r="B27" s="143"/>
      <c r="C27" s="143"/>
      <c r="D27" s="143"/>
      <c r="E27" s="143"/>
      <c r="F27" s="143"/>
      <c r="G27" s="143">
        <v>-21277</v>
      </c>
      <c r="H27" s="143">
        <v>22</v>
      </c>
      <c r="I27" s="143">
        <f>SUM(B27:H27)</f>
        <v>-21255</v>
      </c>
      <c r="J27" s="245"/>
      <c r="K27" s="143">
        <f>SUM(I27:J27)</f>
        <v>-21255</v>
      </c>
      <c r="L27" s="162"/>
    </row>
    <row r="28" spans="1:13" ht="12.75" customHeight="1" x14ac:dyDescent="0.2">
      <c r="A28" s="161" t="s">
        <v>133</v>
      </c>
      <c r="B28" s="161"/>
      <c r="C28" s="161"/>
      <c r="D28" s="161">
        <v>768</v>
      </c>
      <c r="E28" s="161">
        <v>1</v>
      </c>
      <c r="F28" s="161">
        <v>1798</v>
      </c>
      <c r="G28" s="161"/>
      <c r="H28" s="161">
        <v>27404</v>
      </c>
      <c r="I28" s="143">
        <f>SUM(B28:H28)</f>
        <v>29971</v>
      </c>
      <c r="J28" s="161">
        <v>3</v>
      </c>
      <c r="K28" s="143">
        <f>SUM(I28:J28)</f>
        <v>29974</v>
      </c>
      <c r="L28" s="246"/>
      <c r="M28" s="246"/>
    </row>
    <row r="29" spans="1:13" ht="12.75" customHeight="1" x14ac:dyDescent="0.2">
      <c r="A29" s="163"/>
      <c r="B29" s="144"/>
      <c r="C29" s="144"/>
      <c r="D29" s="144"/>
      <c r="E29" s="144"/>
      <c r="F29" s="144"/>
      <c r="G29" s="144"/>
      <c r="H29" s="144"/>
      <c r="I29" s="144"/>
      <c r="J29" s="144"/>
      <c r="K29" s="144"/>
      <c r="L29" s="246"/>
      <c r="M29" s="246"/>
    </row>
    <row r="30" spans="1:13" ht="12.75" customHeight="1" x14ac:dyDescent="0.2">
      <c r="A30" s="152" t="s">
        <v>136</v>
      </c>
      <c r="B30" s="160">
        <f>SUM(B21:B29)</f>
        <v>19399</v>
      </c>
      <c r="C30" s="160">
        <f t="shared" ref="C30:K30" si="2">SUM(C21:C29)</f>
        <v>0</v>
      </c>
      <c r="D30" s="160">
        <f t="shared" si="2"/>
        <v>-644</v>
      </c>
      <c r="E30" s="160">
        <f t="shared" si="2"/>
        <v>1</v>
      </c>
      <c r="F30" s="160">
        <f t="shared" si="2"/>
        <v>741</v>
      </c>
      <c r="G30" s="160">
        <f t="shared" si="2"/>
        <v>29381</v>
      </c>
      <c r="H30" s="160">
        <f t="shared" si="2"/>
        <v>177724</v>
      </c>
      <c r="I30" s="160">
        <f t="shared" si="2"/>
        <v>226602</v>
      </c>
      <c r="J30" s="160">
        <f t="shared" si="2"/>
        <v>274</v>
      </c>
      <c r="K30" s="160">
        <f t="shared" si="2"/>
        <v>226876</v>
      </c>
      <c r="L30" s="246"/>
    </row>
    <row r="31" spans="1:13" x14ac:dyDescent="0.2">
      <c r="B31" s="161"/>
      <c r="C31" s="161"/>
      <c r="D31" s="161"/>
      <c r="H31" s="250"/>
    </row>
    <row r="32" spans="1:13" x14ac:dyDescent="0.2">
      <c r="B32" s="312"/>
      <c r="C32" s="161"/>
      <c r="D32" s="161"/>
      <c r="H32" s="246"/>
    </row>
    <row r="33" spans="2:9" x14ac:dyDescent="0.2">
      <c r="B33" s="161"/>
      <c r="C33" s="161"/>
      <c r="D33" s="161"/>
      <c r="E33" s="246"/>
    </row>
    <row r="34" spans="2:9" x14ac:dyDescent="0.2">
      <c r="B34" s="161"/>
      <c r="C34" s="161"/>
      <c r="D34" s="161"/>
      <c r="E34" s="246"/>
    </row>
    <row r="35" spans="2:9" x14ac:dyDescent="0.2">
      <c r="B35" s="161"/>
      <c r="C35" s="161"/>
      <c r="D35" s="161"/>
    </row>
    <row r="36" spans="2:9" x14ac:dyDescent="0.2">
      <c r="B36" s="161"/>
      <c r="C36" s="161"/>
      <c r="D36" s="161"/>
    </row>
    <row r="37" spans="2:9" x14ac:dyDescent="0.2">
      <c r="B37" s="161"/>
      <c r="C37" s="161"/>
      <c r="D37" s="161"/>
      <c r="I37" s="246"/>
    </row>
    <row r="38" spans="2:9" x14ac:dyDescent="0.2">
      <c r="B38" s="161"/>
      <c r="C38" s="161"/>
      <c r="D38" s="161"/>
      <c r="E38" s="246"/>
      <c r="F38" s="246"/>
      <c r="G38" s="246"/>
    </row>
    <row r="39" spans="2:9" x14ac:dyDescent="0.2">
      <c r="B39" s="161"/>
      <c r="C39" s="161"/>
      <c r="D39" s="161"/>
    </row>
    <row r="40" spans="2:9" x14ac:dyDescent="0.2">
      <c r="B40" s="161"/>
      <c r="C40" s="161"/>
      <c r="D40" s="161"/>
    </row>
    <row r="41" spans="2:9" x14ac:dyDescent="0.2">
      <c r="E41" s="246"/>
      <c r="F41" s="246"/>
      <c r="G41" s="246"/>
    </row>
  </sheetData>
  <phoneticPr fontId="16" type="noConversion"/>
  <pageMargins left="0.75" right="0.28000000000000003" top="1" bottom="1" header="0.4921259845" footer="0.4921259845"/>
  <pageSetup paperSize="9" scale="79" orientation="landscape" horizontalDpi="12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5">
    <pageSetUpPr fitToPage="1"/>
  </sheetPr>
  <dimension ref="A1:I22"/>
  <sheetViews>
    <sheetView workbookViewId="0"/>
  </sheetViews>
  <sheetFormatPr defaultRowHeight="12.75" x14ac:dyDescent="0.2"/>
  <cols>
    <col min="1" max="1" width="71" style="200" bestFit="1" customWidth="1"/>
    <col min="2" max="6" width="11.5703125" style="199" customWidth="1"/>
    <col min="7" max="7" width="10.7109375" style="200" customWidth="1"/>
    <col min="8" max="16384" width="9.140625" style="200"/>
  </cols>
  <sheetData>
    <row r="1" spans="1:9" x14ac:dyDescent="0.2">
      <c r="A1" s="151" t="s">
        <v>4</v>
      </c>
      <c r="B1" s="151"/>
      <c r="C1" s="151"/>
      <c r="D1" s="151"/>
      <c r="E1" s="151"/>
      <c r="F1" s="151"/>
    </row>
    <row r="3" spans="1:9" ht="15.75" x14ac:dyDescent="0.25">
      <c r="A3" s="202" t="s">
        <v>137</v>
      </c>
      <c r="B3" s="202"/>
      <c r="C3" s="152"/>
      <c r="D3" s="202"/>
      <c r="E3" s="202"/>
      <c r="F3" s="202"/>
    </row>
    <row r="4" spans="1:9" x14ac:dyDescent="0.2">
      <c r="C4" s="304"/>
      <c r="D4" s="304"/>
      <c r="E4" s="304"/>
      <c r="G4" s="101"/>
    </row>
    <row r="5" spans="1:9" x14ac:dyDescent="0.2">
      <c r="G5" s="101"/>
    </row>
    <row r="6" spans="1:9" x14ac:dyDescent="0.2">
      <c r="A6" s="212" t="s">
        <v>138</v>
      </c>
      <c r="B6" s="164" t="s">
        <v>31</v>
      </c>
      <c r="C6" s="164" t="s">
        <v>24</v>
      </c>
      <c r="D6" s="164" t="s">
        <v>32</v>
      </c>
      <c r="E6" s="164" t="s">
        <v>33</v>
      </c>
      <c r="F6" s="164" t="s">
        <v>26</v>
      </c>
      <c r="G6" s="106"/>
    </row>
    <row r="7" spans="1:9" x14ac:dyDescent="0.2">
      <c r="A7" s="126"/>
      <c r="B7" s="126"/>
      <c r="C7" s="126"/>
      <c r="D7" s="126"/>
      <c r="E7" s="126"/>
      <c r="F7" s="126"/>
      <c r="G7" s="102"/>
    </row>
    <row r="8" spans="1:9" x14ac:dyDescent="0.2">
      <c r="A8" s="126" t="s">
        <v>48</v>
      </c>
      <c r="B8" s="127">
        <f>+D8-14.8</f>
        <v>19.999999999999996</v>
      </c>
      <c r="C8" s="193">
        <v>19.600000000000001</v>
      </c>
      <c r="D8" s="126">
        <v>34.799999999999997</v>
      </c>
      <c r="E8" s="193">
        <v>38.700000000000003</v>
      </c>
      <c r="F8" s="193">
        <v>48.4</v>
      </c>
      <c r="G8" s="107"/>
    </row>
    <row r="9" spans="1:9" x14ac:dyDescent="0.2">
      <c r="A9" s="126"/>
      <c r="B9" s="126"/>
      <c r="C9" s="126"/>
      <c r="D9" s="126"/>
      <c r="E9" s="126"/>
      <c r="F9" s="126"/>
      <c r="G9" s="107"/>
    </row>
    <row r="10" spans="1:9" ht="12.75" customHeight="1" x14ac:dyDescent="0.2">
      <c r="A10" s="126" t="s">
        <v>139</v>
      </c>
      <c r="B10" s="126"/>
      <c r="C10" s="126"/>
      <c r="D10" s="126"/>
      <c r="E10" s="126"/>
      <c r="F10" s="126"/>
      <c r="G10" s="102"/>
      <c r="H10" s="313"/>
      <c r="I10" s="313"/>
    </row>
    <row r="11" spans="1:9" ht="12.75" customHeight="1" x14ac:dyDescent="0.2">
      <c r="A11" s="126" t="s">
        <v>140</v>
      </c>
      <c r="B11" s="127">
        <f>+D11--0.3</f>
        <v>-0.2</v>
      </c>
      <c r="C11" s="126"/>
      <c r="D11" s="127">
        <v>-0.5</v>
      </c>
      <c r="E11" s="126"/>
      <c r="F11" s="126"/>
      <c r="G11" s="102"/>
      <c r="H11" s="313"/>
      <c r="I11" s="313"/>
    </row>
    <row r="12" spans="1:9" ht="12.75" customHeight="1" x14ac:dyDescent="0.2">
      <c r="A12" s="126" t="s">
        <v>141</v>
      </c>
      <c r="B12" s="127">
        <f>+D12-5</f>
        <v>0</v>
      </c>
      <c r="C12" s="127"/>
      <c r="D12" s="127">
        <v>5</v>
      </c>
      <c r="E12" s="126"/>
      <c r="F12" s="126"/>
      <c r="G12" s="102"/>
      <c r="H12" s="313"/>
      <c r="I12" s="313"/>
    </row>
    <row r="13" spans="1:9" ht="12.75" customHeight="1" x14ac:dyDescent="0.2">
      <c r="A13" s="126" t="s">
        <v>142</v>
      </c>
      <c r="B13" s="101"/>
      <c r="C13" s="126">
        <v>0</v>
      </c>
      <c r="D13" s="101"/>
      <c r="E13" s="126">
        <v>-4.2</v>
      </c>
      <c r="F13" s="126">
        <v>-4.2</v>
      </c>
      <c r="G13" s="102"/>
      <c r="H13" s="313"/>
      <c r="I13" s="313"/>
    </row>
    <row r="14" spans="1:9" ht="12.75" customHeight="1" x14ac:dyDescent="0.2">
      <c r="A14" s="347" t="s">
        <v>143</v>
      </c>
      <c r="B14" s="127"/>
      <c r="C14" s="126">
        <v>0</v>
      </c>
      <c r="D14" s="127"/>
      <c r="E14" s="126">
        <v>0.3</v>
      </c>
      <c r="F14" s="126">
        <v>0.5</v>
      </c>
      <c r="G14" s="102"/>
      <c r="H14" s="313"/>
      <c r="I14" s="313"/>
    </row>
    <row r="15" spans="1:9" ht="12.75" hidden="1" customHeight="1" x14ac:dyDescent="0.2">
      <c r="A15" s="126" t="s">
        <v>21</v>
      </c>
      <c r="B15" s="127"/>
      <c r="C15" s="127"/>
      <c r="D15" s="127"/>
      <c r="E15" s="127"/>
      <c r="F15" s="101"/>
      <c r="G15" s="102"/>
      <c r="H15" s="313"/>
      <c r="I15" s="313"/>
    </row>
    <row r="16" spans="1:9" ht="12.75" hidden="1" customHeight="1" x14ac:dyDescent="0.2">
      <c r="A16" s="126" t="s">
        <v>14</v>
      </c>
      <c r="B16" s="256"/>
      <c r="C16" s="256"/>
      <c r="D16" s="256"/>
      <c r="E16" s="256"/>
      <c r="F16" s="127"/>
      <c r="G16" s="102"/>
      <c r="H16" s="313"/>
      <c r="I16" s="313"/>
    </row>
    <row r="17" spans="1:9" ht="12.75" hidden="1" customHeight="1" x14ac:dyDescent="0.2">
      <c r="A17" s="126" t="s">
        <v>18</v>
      </c>
      <c r="B17" s="193"/>
      <c r="C17" s="193"/>
      <c r="D17" s="193"/>
      <c r="E17" s="193"/>
      <c r="F17" s="127"/>
      <c r="G17" s="102"/>
      <c r="H17" s="313"/>
      <c r="I17" s="313"/>
    </row>
    <row r="18" spans="1:9" ht="12.75" customHeight="1" x14ac:dyDescent="0.2">
      <c r="A18" s="126" t="s">
        <v>144</v>
      </c>
      <c r="B18" s="127"/>
      <c r="C18" s="127"/>
      <c r="D18" s="127"/>
      <c r="E18" s="127"/>
      <c r="F18" s="127">
        <v>-0.2</v>
      </c>
      <c r="G18" s="102"/>
      <c r="H18" s="313"/>
      <c r="I18" s="313"/>
    </row>
    <row r="19" spans="1:9" x14ac:dyDescent="0.2">
      <c r="A19" s="212" t="s">
        <v>145</v>
      </c>
      <c r="B19" s="289">
        <f>+D19-0.7</f>
        <v>0.30000000000000004</v>
      </c>
      <c r="C19" s="212">
        <v>0.1</v>
      </c>
      <c r="D19" s="289">
        <v>1</v>
      </c>
      <c r="E19" s="289">
        <v>2.1</v>
      </c>
      <c r="F19" s="212">
        <f>2.8+0.1</f>
        <v>2.9</v>
      </c>
      <c r="G19" s="201"/>
      <c r="H19" s="313"/>
      <c r="I19" s="313"/>
    </row>
    <row r="20" spans="1:9" x14ac:dyDescent="0.2">
      <c r="A20" s="126" t="s">
        <v>146</v>
      </c>
      <c r="B20" s="193">
        <f>SUM(B8:B19)</f>
        <v>20.099999999999998</v>
      </c>
      <c r="C20" s="193">
        <f>SUM(C8:C19)</f>
        <v>19.700000000000003</v>
      </c>
      <c r="D20" s="193">
        <f>SUM(D8:D19)</f>
        <v>40.299999999999997</v>
      </c>
      <c r="E20" s="193">
        <f>SUM(E8:E19)</f>
        <v>36.9</v>
      </c>
      <c r="F20" s="193">
        <f>SUM(F8:F19)</f>
        <v>47.399999999999991</v>
      </c>
    </row>
    <row r="21" spans="1:9" x14ac:dyDescent="0.2">
      <c r="B21" s="298"/>
    </row>
    <row r="22" spans="1:9" x14ac:dyDescent="0.2">
      <c r="A22" s="100"/>
      <c r="B22" s="297"/>
      <c r="C22" s="192"/>
      <c r="D22" s="192"/>
      <c r="E22" s="192"/>
      <c r="F22" s="192"/>
    </row>
  </sheetData>
  <phoneticPr fontId="3" type="noConversion"/>
  <pageMargins left="0.75" right="0.75" top="1" bottom="1" header="0.4921259845" footer="0.4921259845"/>
  <pageSetup paperSize="9" scale="68"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6" enableFormatConditionsCalculation="0">
    <pageSetUpPr fitToPage="1"/>
  </sheetPr>
  <dimension ref="A1:I29"/>
  <sheetViews>
    <sheetView zoomScaleNormal="100" workbookViewId="0"/>
  </sheetViews>
  <sheetFormatPr defaultRowHeight="12.75" x14ac:dyDescent="0.2"/>
  <cols>
    <col min="1" max="1" width="50.42578125" style="314" customWidth="1"/>
    <col min="2" max="4" width="11.5703125" style="314" customWidth="1"/>
    <col min="5" max="5" width="10.140625" style="318" customWidth="1"/>
    <col min="6" max="6" width="11.28515625" style="314" customWidth="1"/>
    <col min="7" max="16384" width="9.140625" style="314"/>
  </cols>
  <sheetData>
    <row r="1" spans="1:6" x14ac:dyDescent="0.2">
      <c r="A1" s="151" t="s">
        <v>4</v>
      </c>
      <c r="B1" s="151"/>
      <c r="C1" s="151"/>
      <c r="D1" s="151"/>
      <c r="E1" s="68"/>
    </row>
    <row r="2" spans="1:6" x14ac:dyDescent="0.2">
      <c r="A2" s="20"/>
      <c r="B2" s="20"/>
      <c r="C2" s="20"/>
      <c r="D2" s="20"/>
      <c r="E2" s="68"/>
    </row>
    <row r="3" spans="1:6" ht="15.75" x14ac:dyDescent="0.25">
      <c r="A3" s="393" t="s">
        <v>147</v>
      </c>
      <c r="B3" s="49"/>
      <c r="C3" s="304"/>
      <c r="D3" s="49"/>
      <c r="E3" s="91"/>
    </row>
    <row r="4" spans="1:6" x14ac:dyDescent="0.2">
      <c r="A4" s="21"/>
      <c r="B4" s="21"/>
      <c r="C4" s="315"/>
      <c r="D4" s="21"/>
      <c r="E4" s="91"/>
    </row>
    <row r="5" spans="1:6" x14ac:dyDescent="0.2">
      <c r="A5" s="316"/>
      <c r="B5" s="190" t="s">
        <v>31</v>
      </c>
      <c r="C5" s="190" t="s">
        <v>24</v>
      </c>
      <c r="D5" s="190" t="s">
        <v>32</v>
      </c>
      <c r="E5" s="190" t="s">
        <v>33</v>
      </c>
      <c r="F5" s="190" t="s">
        <v>26</v>
      </c>
    </row>
    <row r="6" spans="1:6" x14ac:dyDescent="0.2">
      <c r="A6" s="22"/>
      <c r="B6" s="177"/>
      <c r="C6" s="177"/>
      <c r="E6" s="177"/>
      <c r="F6" s="177"/>
    </row>
    <row r="7" spans="1:6" x14ac:dyDescent="0.2">
      <c r="A7" s="175" t="s">
        <v>148</v>
      </c>
      <c r="B7" s="109">
        <f>+D7-0.26</f>
        <v>0.34773066687336895</v>
      </c>
      <c r="C7" s="109">
        <v>0.4</v>
      </c>
      <c r="D7" s="109">
        <f>+'Consolidated income statement'!$E$29/'Key figures'!D24</f>
        <v>0.60773066687336896</v>
      </c>
      <c r="E7" s="109">
        <v>0.71</v>
      </c>
      <c r="F7" s="109">
        <v>0.89</v>
      </c>
    </row>
    <row r="8" spans="1:6" x14ac:dyDescent="0.2">
      <c r="A8" s="175" t="s">
        <v>149</v>
      </c>
      <c r="B8" s="109">
        <f>+D8-0.26</f>
        <v>0.34766786369390545</v>
      </c>
      <c r="C8" s="109">
        <v>0.4</v>
      </c>
      <c r="D8" s="109">
        <f>+'Consolidated income statement'!$E$29/'Key figures'!D25</f>
        <v>0.60766786369390546</v>
      </c>
      <c r="E8" s="109">
        <v>0.71</v>
      </c>
      <c r="F8" s="109">
        <v>0.89</v>
      </c>
    </row>
    <row r="9" spans="1:6" x14ac:dyDescent="0.2">
      <c r="A9" s="175" t="s">
        <v>150</v>
      </c>
      <c r="B9" s="109">
        <f>+D9-1.15</f>
        <v>0.42884401725964394</v>
      </c>
      <c r="C9" s="109">
        <v>0.47</v>
      </c>
      <c r="D9" s="109">
        <f>+'Statement of cash flows'!B27/'Key figures'!D24</f>
        <v>1.5788440172596439</v>
      </c>
      <c r="E9" s="109">
        <v>1.29</v>
      </c>
      <c r="F9" s="178">
        <v>2.08</v>
      </c>
    </row>
    <row r="10" spans="1:6" x14ac:dyDescent="0.2">
      <c r="A10" s="175" t="s">
        <v>151</v>
      </c>
      <c r="B10" s="301">
        <f>+D10-4.3</f>
        <v>15</v>
      </c>
      <c r="C10" s="178">
        <v>13.8</v>
      </c>
      <c r="D10" s="178">
        <v>19.3</v>
      </c>
      <c r="E10" s="178">
        <v>20.2</v>
      </c>
      <c r="F10" s="178">
        <v>24.1</v>
      </c>
    </row>
    <row r="11" spans="1:6" x14ac:dyDescent="0.2">
      <c r="A11" s="175" t="s">
        <v>152</v>
      </c>
      <c r="B11" s="69">
        <f>+D11-16656</f>
        <v>7068</v>
      </c>
      <c r="C11" s="69">
        <v>8432</v>
      </c>
      <c r="D11" s="69">
        <v>23724</v>
      </c>
      <c r="E11" s="69">
        <v>36265</v>
      </c>
      <c r="F11" s="69">
        <v>49385</v>
      </c>
    </row>
    <row r="12" spans="1:6" x14ac:dyDescent="0.2">
      <c r="A12" s="175" t="s">
        <v>153</v>
      </c>
      <c r="B12" s="69">
        <f>+D12-26118</f>
        <v>10427</v>
      </c>
      <c r="C12" s="69">
        <v>10757</v>
      </c>
      <c r="D12" s="69">
        <f>31518+5027</f>
        <v>36545</v>
      </c>
      <c r="E12" s="69">
        <v>32880</v>
      </c>
      <c r="F12" s="69">
        <v>43641</v>
      </c>
    </row>
    <row r="13" spans="1:6" x14ac:dyDescent="0.2">
      <c r="A13" s="175"/>
      <c r="B13" s="19"/>
      <c r="C13" s="175"/>
      <c r="D13" s="175"/>
      <c r="E13" s="175"/>
      <c r="F13" s="175"/>
    </row>
    <row r="14" spans="1:6" x14ac:dyDescent="0.2">
      <c r="A14" s="175" t="s">
        <v>154</v>
      </c>
      <c r="B14" s="109"/>
      <c r="C14" s="109"/>
      <c r="D14" s="109">
        <f>+'Statement of financial position'!B63/'Key figures'!D25</f>
        <v>6.0062262639832591</v>
      </c>
      <c r="E14" s="109">
        <v>5.85</v>
      </c>
      <c r="F14" s="109">
        <v>6.01</v>
      </c>
    </row>
    <row r="15" spans="1:6" x14ac:dyDescent="0.2">
      <c r="A15" s="68" t="s">
        <v>155</v>
      </c>
      <c r="B15" s="68"/>
      <c r="C15" s="68"/>
      <c r="D15" s="68">
        <v>13.5</v>
      </c>
      <c r="E15" s="68">
        <v>16.399999999999999</v>
      </c>
      <c r="F15" s="68">
        <v>15.3</v>
      </c>
    </row>
    <row r="16" spans="1:6" x14ac:dyDescent="0.2">
      <c r="A16" s="175" t="s">
        <v>156</v>
      </c>
      <c r="B16" s="264"/>
      <c r="C16" s="264"/>
      <c r="D16" s="264">
        <v>14.4</v>
      </c>
      <c r="E16" s="264">
        <v>15.2</v>
      </c>
      <c r="F16" s="264">
        <v>14.4</v>
      </c>
    </row>
    <row r="17" spans="1:9" x14ac:dyDescent="0.2">
      <c r="A17" s="175" t="s">
        <v>157</v>
      </c>
      <c r="B17" s="68"/>
      <c r="C17" s="68"/>
      <c r="D17" s="68">
        <v>50.2</v>
      </c>
      <c r="E17" s="68">
        <v>47.5</v>
      </c>
      <c r="F17" s="264">
        <v>49.4</v>
      </c>
    </row>
    <row r="18" spans="1:9" x14ac:dyDescent="0.2">
      <c r="A18" s="175" t="s">
        <v>17</v>
      </c>
      <c r="B18" s="68"/>
      <c r="C18" s="68"/>
      <c r="D18" s="68">
        <v>28.1</v>
      </c>
      <c r="E18" s="68">
        <v>45.1</v>
      </c>
      <c r="F18" s="68">
        <v>35.299999999999997</v>
      </c>
    </row>
    <row r="19" spans="1:9" x14ac:dyDescent="0.2">
      <c r="A19" s="175" t="s">
        <v>158</v>
      </c>
      <c r="B19" s="265"/>
      <c r="C19" s="265"/>
      <c r="D19" s="265">
        <v>65297</v>
      </c>
      <c r="E19" s="265">
        <v>102281</v>
      </c>
      <c r="F19" s="265">
        <v>82294</v>
      </c>
      <c r="H19" s="317"/>
      <c r="I19" s="317"/>
    </row>
    <row r="20" spans="1:9" x14ac:dyDescent="0.2">
      <c r="A20" s="175" t="s">
        <v>159</v>
      </c>
      <c r="B20" s="265"/>
      <c r="C20" s="265"/>
      <c r="D20" s="265">
        <v>8298</v>
      </c>
      <c r="E20" s="265">
        <v>8504</v>
      </c>
      <c r="F20" s="265">
        <v>8399</v>
      </c>
    </row>
    <row r="21" spans="1:9" x14ac:dyDescent="0.2">
      <c r="A21" s="175" t="s">
        <v>160</v>
      </c>
      <c r="B21" s="265"/>
      <c r="C21" s="265"/>
      <c r="D21" s="265">
        <v>9017</v>
      </c>
      <c r="E21" s="265">
        <v>9101</v>
      </c>
      <c r="F21" s="265">
        <v>8962</v>
      </c>
    </row>
    <row r="22" spans="1:9" x14ac:dyDescent="0.2">
      <c r="A22" s="175"/>
      <c r="B22" s="19"/>
      <c r="C22" s="175"/>
      <c r="D22" s="175"/>
      <c r="E22" s="175"/>
      <c r="F22" s="175"/>
    </row>
    <row r="23" spans="1:9" x14ac:dyDescent="0.2">
      <c r="A23" s="175" t="s">
        <v>161</v>
      </c>
      <c r="B23" s="19"/>
      <c r="C23" s="175"/>
      <c r="D23" s="175"/>
      <c r="E23" s="175"/>
      <c r="F23" s="175"/>
    </row>
    <row r="24" spans="1:9" x14ac:dyDescent="0.2">
      <c r="A24" s="175" t="s">
        <v>162</v>
      </c>
      <c r="B24" s="265"/>
      <c r="C24" s="265"/>
      <c r="D24" s="265">
        <v>38703</v>
      </c>
      <c r="E24" s="265">
        <v>38687</v>
      </c>
      <c r="F24" s="265">
        <v>38688</v>
      </c>
    </row>
    <row r="25" spans="1:9" x14ac:dyDescent="0.2">
      <c r="A25" s="175" t="s">
        <v>163</v>
      </c>
      <c r="B25" s="265"/>
      <c r="C25" s="265"/>
      <c r="D25" s="265">
        <v>38707</v>
      </c>
      <c r="E25" s="265">
        <v>38692</v>
      </c>
      <c r="F25" s="265">
        <v>38692</v>
      </c>
    </row>
    <row r="26" spans="1:9" x14ac:dyDescent="0.2">
      <c r="A26" s="175" t="s">
        <v>164</v>
      </c>
      <c r="B26" s="265"/>
      <c r="C26" s="265"/>
      <c r="D26" s="265">
        <v>38729</v>
      </c>
      <c r="E26" s="265">
        <v>38689</v>
      </c>
      <c r="F26" s="265">
        <v>38701</v>
      </c>
    </row>
    <row r="27" spans="1:9" x14ac:dyDescent="0.2">
      <c r="A27" s="20"/>
      <c r="B27" s="20"/>
      <c r="C27" s="20"/>
      <c r="D27" s="20"/>
      <c r="E27" s="68"/>
    </row>
    <row r="28" spans="1:9" ht="12.75" customHeight="1" x14ac:dyDescent="0.2">
      <c r="A28" s="360" t="s">
        <v>165</v>
      </c>
      <c r="B28" s="360"/>
      <c r="C28" s="360"/>
      <c r="D28" s="360"/>
      <c r="E28" s="360"/>
    </row>
    <row r="29" spans="1:9" x14ac:dyDescent="0.2">
      <c r="A29" s="360"/>
      <c r="B29" s="360"/>
      <c r="C29" s="360"/>
      <c r="D29" s="360"/>
      <c r="E29" s="360"/>
    </row>
  </sheetData>
  <mergeCells count="1">
    <mergeCell ref="A28:E29"/>
  </mergeCells>
  <phoneticPr fontId="3" type="noConversion"/>
  <pageMargins left="0.74803149606299213" right="0.74803149606299213" top="0.98425196850393704" bottom="0" header="0.4921259845" footer="0.4921259845"/>
  <pageSetup paperSize="9" scale="82" orientation="portrait" horizontalDpi="4294967292" verticalDpi="4294967292" r:id="rId1"/>
  <headerFooter alignWithMargins="0">
    <oddFooter>&amp;R&amp;8&amp;F/&amp;A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7">
    <pageSetUpPr fitToPage="1"/>
  </sheetPr>
  <dimension ref="A1:G80"/>
  <sheetViews>
    <sheetView zoomScaleNormal="100" workbookViewId="0"/>
  </sheetViews>
  <sheetFormatPr defaultRowHeight="12.75" x14ac:dyDescent="0.2"/>
  <cols>
    <col min="1" max="1" width="60.7109375" style="15" customWidth="1"/>
    <col min="2" max="2" width="15.28515625" style="15" customWidth="1"/>
    <col min="3" max="4" width="11.140625" style="218" customWidth="1"/>
    <col min="5" max="16384" width="9.140625" style="15"/>
  </cols>
  <sheetData>
    <row r="1" spans="1:5" x14ac:dyDescent="0.2">
      <c r="A1" s="151" t="s">
        <v>4</v>
      </c>
      <c r="B1" s="151"/>
    </row>
    <row r="3" spans="1:5" ht="15.75" x14ac:dyDescent="0.25">
      <c r="A3" s="394" t="s">
        <v>166</v>
      </c>
      <c r="B3" s="13"/>
      <c r="C3" s="70"/>
      <c r="D3" s="70"/>
    </row>
    <row r="4" spans="1:5" x14ac:dyDescent="0.2">
      <c r="A4" s="248"/>
      <c r="C4" s="249"/>
      <c r="D4" s="249"/>
    </row>
    <row r="5" spans="1:5" x14ac:dyDescent="0.2">
      <c r="A5" s="363" t="s">
        <v>38</v>
      </c>
      <c r="B5" s="66" t="s">
        <v>34</v>
      </c>
      <c r="C5" s="66" t="s">
        <v>35</v>
      </c>
      <c r="D5" s="66" t="s">
        <v>27</v>
      </c>
    </row>
    <row r="6" spans="1:5" x14ac:dyDescent="0.2">
      <c r="A6" s="395"/>
      <c r="B6" s="218"/>
    </row>
    <row r="7" spans="1:5" x14ac:dyDescent="0.2">
      <c r="A7" s="396" t="s">
        <v>167</v>
      </c>
      <c r="B7" s="218"/>
    </row>
    <row r="8" spans="1:5" x14ac:dyDescent="0.2">
      <c r="A8" s="397" t="s">
        <v>53</v>
      </c>
      <c r="B8" s="217">
        <v>23521</v>
      </c>
      <c r="C8" s="217">
        <v>27396</v>
      </c>
      <c r="D8" s="217">
        <v>34452</v>
      </c>
    </row>
    <row r="9" spans="1:5" x14ac:dyDescent="0.2">
      <c r="A9" s="396" t="s">
        <v>168</v>
      </c>
      <c r="B9" s="218"/>
    </row>
    <row r="10" spans="1:5" x14ac:dyDescent="0.2">
      <c r="A10" s="398" t="s">
        <v>52</v>
      </c>
      <c r="B10" s="217">
        <v>9147</v>
      </c>
      <c r="C10" s="217">
        <v>6426</v>
      </c>
      <c r="D10" s="217">
        <v>8543</v>
      </c>
    </row>
    <row r="11" spans="1:5" x14ac:dyDescent="0.2">
      <c r="A11" s="398" t="s">
        <v>169</v>
      </c>
      <c r="B11" s="217">
        <v>36545</v>
      </c>
      <c r="C11" s="217">
        <v>32880</v>
      </c>
      <c r="D11" s="217">
        <v>43642</v>
      </c>
    </row>
    <row r="12" spans="1:5" x14ac:dyDescent="0.2">
      <c r="A12" s="398" t="s">
        <v>170</v>
      </c>
      <c r="B12" s="217">
        <v>2130</v>
      </c>
      <c r="C12" s="217">
        <v>4883</v>
      </c>
      <c r="D12" s="217">
        <v>5395</v>
      </c>
      <c r="E12" s="319"/>
    </row>
    <row r="13" spans="1:5" x14ac:dyDescent="0.2">
      <c r="A13" s="398" t="s">
        <v>171</v>
      </c>
      <c r="B13" s="217">
        <v>-1066</v>
      </c>
      <c r="C13" s="217">
        <v>-4181</v>
      </c>
      <c r="D13" s="217">
        <v>-4181</v>
      </c>
    </row>
    <row r="14" spans="1:5" x14ac:dyDescent="0.2">
      <c r="A14" s="399" t="s">
        <v>87</v>
      </c>
      <c r="B14" s="231">
        <v>-575</v>
      </c>
      <c r="C14" s="231">
        <v>-235</v>
      </c>
      <c r="D14" s="231">
        <v>1603</v>
      </c>
      <c r="E14" s="319"/>
    </row>
    <row r="15" spans="1:5" ht="25.5" x14ac:dyDescent="0.2">
      <c r="A15" s="400" t="s">
        <v>172</v>
      </c>
      <c r="B15" s="232">
        <f>SUM(B8:B14)</f>
        <v>69702</v>
      </c>
      <c r="C15" s="232">
        <f>SUM(C8:C14)</f>
        <v>67169</v>
      </c>
      <c r="D15" s="232">
        <f>SUM(D8:D14)</f>
        <v>89454</v>
      </c>
    </row>
    <row r="16" spans="1:5" x14ac:dyDescent="0.2">
      <c r="A16" s="397"/>
      <c r="B16" s="232"/>
      <c r="C16" s="232"/>
      <c r="D16" s="232"/>
    </row>
    <row r="17" spans="1:7" x14ac:dyDescent="0.2">
      <c r="A17" s="397" t="s">
        <v>173</v>
      </c>
      <c r="B17" s="232"/>
      <c r="C17" s="232"/>
      <c r="D17" s="232"/>
    </row>
    <row r="18" spans="1:7" x14ac:dyDescent="0.2">
      <c r="A18" s="398" t="s">
        <v>174</v>
      </c>
      <c r="B18" s="217">
        <v>849</v>
      </c>
      <c r="C18" s="217">
        <v>-16635</v>
      </c>
      <c r="D18" s="217">
        <v>-10574</v>
      </c>
    </row>
    <row r="19" spans="1:7" x14ac:dyDescent="0.2">
      <c r="A19" s="398" t="s">
        <v>175</v>
      </c>
      <c r="B19" s="217">
        <v>-4436</v>
      </c>
      <c r="C19" s="217">
        <v>-4934</v>
      </c>
      <c r="D19" s="217">
        <v>-121</v>
      </c>
      <c r="G19" s="15" t="s">
        <v>29</v>
      </c>
    </row>
    <row r="20" spans="1:7" x14ac:dyDescent="0.2">
      <c r="A20" s="399" t="s">
        <v>176</v>
      </c>
      <c r="B20" s="231">
        <v>4097</v>
      </c>
      <c r="C20" s="231">
        <v>15137</v>
      </c>
      <c r="D20" s="231">
        <v>17096</v>
      </c>
    </row>
    <row r="21" spans="1:7" x14ac:dyDescent="0.2">
      <c r="A21" s="401" t="s">
        <v>173</v>
      </c>
      <c r="B21" s="233">
        <f>SUM(B18:B20)</f>
        <v>510</v>
      </c>
      <c r="C21" s="233">
        <f>SUM(C18:C20)</f>
        <v>-6432</v>
      </c>
      <c r="D21" s="233">
        <f>SUM(D18:D20)</f>
        <v>6401</v>
      </c>
    </row>
    <row r="22" spans="1:7" x14ac:dyDescent="0.2">
      <c r="A22" s="397"/>
      <c r="B22" s="232"/>
      <c r="C22" s="232"/>
      <c r="D22" s="232"/>
    </row>
    <row r="23" spans="1:7" x14ac:dyDescent="0.2">
      <c r="A23" s="397" t="s">
        <v>177</v>
      </c>
      <c r="B23" s="217">
        <v>-2461</v>
      </c>
      <c r="C23" s="217">
        <v>-3529</v>
      </c>
      <c r="D23" s="217">
        <v>-5070</v>
      </c>
    </row>
    <row r="24" spans="1:7" x14ac:dyDescent="0.2">
      <c r="A24" s="397" t="s">
        <v>178</v>
      </c>
      <c r="B24" s="217">
        <v>340</v>
      </c>
      <c r="C24" s="217">
        <v>686</v>
      </c>
      <c r="D24" s="217">
        <v>830</v>
      </c>
    </row>
    <row r="25" spans="1:7" x14ac:dyDescent="0.2">
      <c r="A25" s="402" t="s">
        <v>179</v>
      </c>
      <c r="B25" s="231">
        <v>-6985</v>
      </c>
      <c r="C25" s="231">
        <v>-8151</v>
      </c>
      <c r="D25" s="231">
        <v>-11127</v>
      </c>
    </row>
    <row r="26" spans="1:7" x14ac:dyDescent="0.2">
      <c r="A26" s="397"/>
      <c r="B26" s="217"/>
      <c r="C26" s="217"/>
      <c r="D26" s="217"/>
    </row>
    <row r="27" spans="1:7" x14ac:dyDescent="0.2">
      <c r="A27" s="396" t="s">
        <v>180</v>
      </c>
      <c r="B27" s="232">
        <f>SUM(B23:B25)+B21+B15</f>
        <v>61106</v>
      </c>
      <c r="C27" s="232">
        <f>SUM(C23:C25)+C21+C15</f>
        <v>49743</v>
      </c>
      <c r="D27" s="232">
        <f>SUM(D23:D25)+D21+D15</f>
        <v>80488</v>
      </c>
    </row>
    <row r="28" spans="1:7" x14ac:dyDescent="0.2">
      <c r="A28" s="397" t="s">
        <v>1</v>
      </c>
      <c r="C28" s="217"/>
      <c r="D28" s="217"/>
    </row>
    <row r="29" spans="1:7" x14ac:dyDescent="0.2">
      <c r="A29" s="396" t="s">
        <v>181</v>
      </c>
      <c r="B29" s="14"/>
      <c r="C29" s="217"/>
      <c r="D29" s="217"/>
    </row>
    <row r="30" spans="1:7" x14ac:dyDescent="0.2">
      <c r="A30" s="398" t="s">
        <v>182</v>
      </c>
      <c r="B30" s="217"/>
      <c r="C30" s="217">
        <v>-807</v>
      </c>
      <c r="D30" s="217">
        <v>-2498</v>
      </c>
    </row>
    <row r="31" spans="1:7" ht="25.5" x14ac:dyDescent="0.2">
      <c r="A31" s="403" t="s">
        <v>183</v>
      </c>
      <c r="B31" s="217"/>
      <c r="C31" s="217">
        <v>7820</v>
      </c>
      <c r="D31" s="217">
        <v>7820</v>
      </c>
    </row>
    <row r="32" spans="1:7" x14ac:dyDescent="0.2">
      <c r="A32" s="398" t="s">
        <v>184</v>
      </c>
      <c r="B32" s="217">
        <v>-19318</v>
      </c>
      <c r="C32" s="217">
        <v>-29021</v>
      </c>
      <c r="D32" s="217">
        <v>-40659</v>
      </c>
    </row>
    <row r="33" spans="1:4" ht="25.5" x14ac:dyDescent="0.2">
      <c r="A33" s="403" t="s">
        <v>185</v>
      </c>
      <c r="B33" s="217">
        <v>1066</v>
      </c>
      <c r="C33" s="217">
        <v>519</v>
      </c>
      <c r="D33" s="217">
        <v>2826</v>
      </c>
    </row>
    <row r="34" spans="1:4" x14ac:dyDescent="0.2">
      <c r="A34" s="398" t="s">
        <v>186</v>
      </c>
      <c r="B34" s="217"/>
      <c r="C34" s="217"/>
      <c r="D34" s="217"/>
    </row>
    <row r="35" spans="1:4" x14ac:dyDescent="0.2">
      <c r="A35" s="398" t="s">
        <v>187</v>
      </c>
      <c r="B35" s="217">
        <v>-2988</v>
      </c>
      <c r="C35" s="217">
        <v>462</v>
      </c>
      <c r="D35" s="217">
        <v>560</v>
      </c>
    </row>
    <row r="36" spans="1:4" x14ac:dyDescent="0.2">
      <c r="A36" s="398" t="s">
        <v>188</v>
      </c>
      <c r="B36" s="217"/>
      <c r="C36" s="217"/>
      <c r="D36" s="217"/>
    </row>
    <row r="37" spans="1:4" x14ac:dyDescent="0.2">
      <c r="A37" s="399" t="s">
        <v>189</v>
      </c>
      <c r="B37" s="231">
        <v>1</v>
      </c>
      <c r="C37" s="231">
        <v>1</v>
      </c>
      <c r="D37" s="231">
        <v>1</v>
      </c>
    </row>
    <row r="38" spans="1:4" x14ac:dyDescent="0.2">
      <c r="A38" s="401"/>
      <c r="B38" s="17"/>
      <c r="C38" s="233"/>
      <c r="D38" s="233"/>
    </row>
    <row r="39" spans="1:4" x14ac:dyDescent="0.2">
      <c r="A39" s="396" t="s">
        <v>190</v>
      </c>
      <c r="B39" s="232">
        <f>SUM(B30:B37)</f>
        <v>-21239</v>
      </c>
      <c r="C39" s="232">
        <f>SUM(C30:C37)</f>
        <v>-21026</v>
      </c>
      <c r="D39" s="232">
        <f>SUM(D30:D37)</f>
        <v>-31950</v>
      </c>
    </row>
    <row r="40" spans="1:4" x14ac:dyDescent="0.2">
      <c r="A40" s="397"/>
      <c r="C40" s="217"/>
      <c r="D40" s="217"/>
    </row>
    <row r="41" spans="1:4" x14ac:dyDescent="0.2">
      <c r="A41" s="396" t="s">
        <v>191</v>
      </c>
      <c r="B41" s="14"/>
      <c r="C41" s="217"/>
      <c r="D41" s="217"/>
    </row>
    <row r="42" spans="1:4" x14ac:dyDescent="0.2">
      <c r="A42" s="398" t="s">
        <v>192</v>
      </c>
      <c r="B42" s="16"/>
      <c r="C42" s="217"/>
      <c r="D42" s="217"/>
    </row>
    <row r="43" spans="1:4" x14ac:dyDescent="0.2">
      <c r="A43" s="398" t="s">
        <v>193</v>
      </c>
      <c r="B43" s="217">
        <v>8002</v>
      </c>
      <c r="C43" s="217">
        <v>4133</v>
      </c>
      <c r="D43" s="217">
        <v>-5781</v>
      </c>
    </row>
    <row r="44" spans="1:4" x14ac:dyDescent="0.2">
      <c r="A44" s="398" t="s">
        <v>194</v>
      </c>
      <c r="B44" s="217"/>
      <c r="C44" s="217">
        <v>10200</v>
      </c>
      <c r="D44" s="217">
        <v>10200</v>
      </c>
    </row>
    <row r="45" spans="1:4" x14ac:dyDescent="0.2">
      <c r="A45" s="398" t="s">
        <v>195</v>
      </c>
      <c r="B45" s="217">
        <v>-17052</v>
      </c>
      <c r="C45" s="217">
        <v>-18202</v>
      </c>
      <c r="D45" s="217">
        <v>-25254</v>
      </c>
    </row>
    <row r="46" spans="1:4" x14ac:dyDescent="0.2">
      <c r="A46" s="404" t="s">
        <v>196</v>
      </c>
      <c r="B46" s="233">
        <v>-23197</v>
      </c>
      <c r="C46" s="233">
        <v>-21254</v>
      </c>
      <c r="D46" s="233">
        <v>-21254</v>
      </c>
    </row>
    <row r="47" spans="1:4" x14ac:dyDescent="0.2">
      <c r="A47" s="399" t="s">
        <v>197</v>
      </c>
      <c r="B47" s="231"/>
      <c r="C47" s="231"/>
      <c r="D47" s="231"/>
    </row>
    <row r="48" spans="1:4" x14ac:dyDescent="0.2">
      <c r="A48" s="401"/>
      <c r="B48" s="233"/>
      <c r="C48" s="233"/>
      <c r="D48" s="233"/>
    </row>
    <row r="49" spans="1:4" x14ac:dyDescent="0.2">
      <c r="A49" s="396" t="s">
        <v>198</v>
      </c>
      <c r="B49" s="232">
        <f>SUM(B42:B47)</f>
        <v>-32247</v>
      </c>
      <c r="C49" s="232">
        <f>SUM(C42:C47)</f>
        <v>-25123</v>
      </c>
      <c r="D49" s="232">
        <f>SUM(D42:D47)</f>
        <v>-42089</v>
      </c>
    </row>
    <row r="50" spans="1:4" x14ac:dyDescent="0.2">
      <c r="A50" s="396"/>
      <c r="B50" s="217"/>
      <c r="C50" s="217"/>
      <c r="D50" s="217"/>
    </row>
    <row r="51" spans="1:4" x14ac:dyDescent="0.2">
      <c r="A51" s="396" t="s">
        <v>199</v>
      </c>
      <c r="B51" s="232">
        <f>+B49+B39+B27</f>
        <v>7620</v>
      </c>
      <c r="C51" s="232">
        <f>+C49+C39+C27</f>
        <v>3594</v>
      </c>
      <c r="D51" s="232">
        <f>+D49+D39+D27</f>
        <v>6449</v>
      </c>
    </row>
    <row r="52" spans="1:4" x14ac:dyDescent="0.2">
      <c r="A52" s="398" t="s">
        <v>200</v>
      </c>
      <c r="B52" s="233">
        <v>14582</v>
      </c>
      <c r="C52" s="233">
        <v>8069</v>
      </c>
      <c r="D52" s="233">
        <v>8069</v>
      </c>
    </row>
    <row r="53" spans="1:4" x14ac:dyDescent="0.2">
      <c r="A53" s="404" t="s">
        <v>201</v>
      </c>
      <c r="B53" s="233">
        <v>-108</v>
      </c>
      <c r="C53" s="233">
        <v>63</v>
      </c>
      <c r="D53" s="233">
        <v>64</v>
      </c>
    </row>
    <row r="54" spans="1:4" s="18" customFormat="1" x14ac:dyDescent="0.2">
      <c r="A54" s="399" t="s">
        <v>202</v>
      </c>
      <c r="B54" s="231"/>
      <c r="C54" s="231"/>
      <c r="D54" s="231"/>
    </row>
    <row r="55" spans="1:4" s="17" customFormat="1" x14ac:dyDescent="0.2">
      <c r="A55" s="405"/>
      <c r="B55" s="233"/>
      <c r="C55" s="233"/>
      <c r="D55" s="233"/>
    </row>
    <row r="56" spans="1:4" x14ac:dyDescent="0.2">
      <c r="A56" s="396" t="s">
        <v>203</v>
      </c>
      <c r="B56" s="232">
        <f>SUM(B51:B54)</f>
        <v>22094</v>
      </c>
      <c r="C56" s="232">
        <f>SUM(C51:C54)</f>
        <v>11726</v>
      </c>
      <c r="D56" s="232">
        <f>SUM(D51:D54)</f>
        <v>14582</v>
      </c>
    </row>
    <row r="57" spans="1:4" x14ac:dyDescent="0.2">
      <c r="A57" s="396"/>
      <c r="B57" s="232"/>
      <c r="C57" s="232"/>
      <c r="D57" s="232"/>
    </row>
    <row r="58" spans="1:4" x14ac:dyDescent="0.2">
      <c r="A58" s="396"/>
      <c r="B58" s="232"/>
      <c r="C58" s="232"/>
      <c r="D58" s="232"/>
    </row>
    <row r="59" spans="1:4" x14ac:dyDescent="0.2">
      <c r="A59" s="396" t="s">
        <v>204</v>
      </c>
      <c r="B59" s="232"/>
      <c r="C59" s="232"/>
      <c r="D59" s="232"/>
    </row>
    <row r="60" spans="1:4" x14ac:dyDescent="0.2">
      <c r="A60" s="396"/>
      <c r="B60" s="232"/>
      <c r="C60" s="232"/>
      <c r="D60" s="232"/>
    </row>
    <row r="61" spans="1:4" x14ac:dyDescent="0.2">
      <c r="A61" s="363" t="s">
        <v>38</v>
      </c>
      <c r="B61" s="66" t="str">
        <f>B5</f>
        <v>9/2013</v>
      </c>
      <c r="C61" s="66" t="str">
        <f>C5</f>
        <v>9/2012</v>
      </c>
      <c r="D61" s="66" t="str">
        <f>D5</f>
        <v>12/2012</v>
      </c>
    </row>
    <row r="62" spans="1:4" x14ac:dyDescent="0.2">
      <c r="A62" s="396"/>
      <c r="B62" s="232"/>
      <c r="C62" s="232"/>
      <c r="D62" s="232"/>
    </row>
    <row r="63" spans="1:4" x14ac:dyDescent="0.2">
      <c r="A63" s="397" t="s">
        <v>100</v>
      </c>
      <c r="B63" s="217">
        <v>22094</v>
      </c>
      <c r="C63" s="217">
        <v>9326</v>
      </c>
      <c r="D63" s="217">
        <v>12083</v>
      </c>
    </row>
    <row r="64" spans="1:4" x14ac:dyDescent="0.2">
      <c r="A64" s="402" t="s">
        <v>205</v>
      </c>
      <c r="B64" s="231"/>
      <c r="C64" s="231">
        <v>2400</v>
      </c>
      <c r="D64" s="231">
        <v>2499</v>
      </c>
    </row>
    <row r="65" spans="1:4" x14ac:dyDescent="0.2">
      <c r="A65" s="396" t="s">
        <v>62</v>
      </c>
      <c r="B65" s="232">
        <f>SUM(B63:B64)</f>
        <v>22094</v>
      </c>
      <c r="C65" s="232">
        <f>SUM(C63:C64)</f>
        <v>11726</v>
      </c>
      <c r="D65" s="232">
        <f>SUM(D63:D64)</f>
        <v>14582</v>
      </c>
    </row>
    <row r="66" spans="1:4" x14ac:dyDescent="0.2">
      <c r="C66" s="217"/>
      <c r="D66" s="217"/>
    </row>
    <row r="67" spans="1:4" x14ac:dyDescent="0.2">
      <c r="A67" s="2"/>
      <c r="B67" s="2"/>
      <c r="C67" s="217"/>
      <c r="D67" s="217"/>
    </row>
    <row r="80" spans="1:4" x14ac:dyDescent="0.2">
      <c r="C80" s="217"/>
      <c r="D80" s="217"/>
    </row>
  </sheetData>
  <phoneticPr fontId="9" type="noConversion"/>
  <pageMargins left="0.75" right="0.75" top="0.44" bottom="0.39" header="0.4921259845" footer="0.22"/>
  <pageSetup paperSize="9" scale="89" orientation="portrait"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8"/>
  <dimension ref="A1:L120"/>
  <sheetViews>
    <sheetView zoomScaleNormal="100" workbookViewId="0"/>
  </sheetViews>
  <sheetFormatPr defaultRowHeight="12.75" x14ac:dyDescent="0.2"/>
  <cols>
    <col min="1" max="1" width="28" style="24" customWidth="1"/>
    <col min="2" max="2" width="9.42578125" style="24" customWidth="1"/>
    <col min="3" max="3" width="11.85546875" style="24" customWidth="1"/>
    <col min="4" max="4" width="10.28515625" style="24" customWidth="1"/>
    <col min="5" max="5" width="9.28515625" style="24" customWidth="1"/>
    <col min="6" max="6" width="11.7109375" style="24" customWidth="1"/>
    <col min="7" max="7" width="9.28515625" style="24" customWidth="1"/>
    <col min="8" max="8" width="11" style="24" customWidth="1"/>
    <col min="9" max="10" width="9.28515625" style="24" customWidth="1"/>
    <col min="11" max="16384" width="9.140625" style="24"/>
  </cols>
  <sheetData>
    <row r="1" spans="1:12" x14ac:dyDescent="0.2">
      <c r="A1" s="23" t="s">
        <v>5</v>
      </c>
      <c r="B1" s="23"/>
      <c r="C1" s="23"/>
      <c r="D1" s="23"/>
      <c r="E1" s="23"/>
      <c r="F1" s="23"/>
    </row>
    <row r="3" spans="1:12" ht="15.75" x14ac:dyDescent="0.25">
      <c r="A3" s="194" t="s">
        <v>206</v>
      </c>
      <c r="B3" s="50"/>
      <c r="C3" s="194"/>
      <c r="D3" s="194"/>
      <c r="E3" s="98"/>
      <c r="F3" s="98"/>
    </row>
    <row r="4" spans="1:12" x14ac:dyDescent="0.2">
      <c r="B4" s="26"/>
      <c r="C4" s="122"/>
      <c r="D4" s="122"/>
      <c r="E4" s="85"/>
      <c r="F4" s="85"/>
      <c r="G4" s="85"/>
      <c r="H4" s="27"/>
      <c r="I4" s="27"/>
      <c r="J4" s="27"/>
    </row>
    <row r="5" spans="1:12" x14ac:dyDescent="0.2">
      <c r="A5" s="406" t="s">
        <v>207</v>
      </c>
      <c r="B5" s="26"/>
      <c r="C5" s="122"/>
      <c r="D5" s="122"/>
      <c r="E5" s="85"/>
      <c r="F5" s="85"/>
      <c r="G5" s="85"/>
      <c r="H5" s="27"/>
      <c r="I5" s="27"/>
      <c r="J5" s="27"/>
    </row>
    <row r="6" spans="1:12" x14ac:dyDescent="0.2">
      <c r="A6" s="26"/>
      <c r="B6" s="26"/>
      <c r="C6" s="122"/>
      <c r="D6" s="122"/>
      <c r="E6" s="85"/>
      <c r="F6" s="279"/>
      <c r="G6" s="85"/>
      <c r="H6" s="27"/>
      <c r="I6" s="27"/>
      <c r="J6" s="27"/>
    </row>
    <row r="7" spans="1:12" x14ac:dyDescent="0.2">
      <c r="A7" s="27"/>
      <c r="B7" s="85"/>
      <c r="C7" s="114" t="s">
        <v>31</v>
      </c>
      <c r="D7" s="257"/>
      <c r="E7" s="85"/>
      <c r="F7" s="114" t="s">
        <v>24</v>
      </c>
      <c r="G7" s="85"/>
      <c r="H7" s="166"/>
      <c r="I7" s="27"/>
      <c r="J7" s="27"/>
    </row>
    <row r="8" spans="1:12" ht="38.25" x14ac:dyDescent="0.2">
      <c r="A8" s="363" t="s">
        <v>38</v>
      </c>
      <c r="B8" s="86" t="s">
        <v>208</v>
      </c>
      <c r="C8" s="168" t="s">
        <v>209</v>
      </c>
      <c r="D8" s="407" t="s">
        <v>62</v>
      </c>
      <c r="E8" s="86" t="s">
        <v>208</v>
      </c>
      <c r="F8" s="168" t="s">
        <v>209</v>
      </c>
      <c r="G8" s="86" t="s">
        <v>62</v>
      </c>
      <c r="H8" s="167" t="s">
        <v>210</v>
      </c>
      <c r="I8" s="27"/>
      <c r="J8" s="27"/>
    </row>
    <row r="9" spans="1:12" x14ac:dyDescent="0.2">
      <c r="A9" s="27"/>
      <c r="B9" s="85"/>
      <c r="C9" s="104"/>
      <c r="D9" s="257"/>
      <c r="E9" s="85"/>
      <c r="F9" s="104"/>
      <c r="G9" s="104"/>
      <c r="H9" s="165"/>
      <c r="I9" s="27"/>
      <c r="J9" s="27"/>
    </row>
    <row r="10" spans="1:12" x14ac:dyDescent="0.2">
      <c r="A10" s="408" t="s">
        <v>211</v>
      </c>
      <c r="B10" s="180">
        <v>64852</v>
      </c>
      <c r="C10" s="180">
        <v>581</v>
      </c>
      <c r="D10" s="320">
        <f>B10+C10</f>
        <v>65433</v>
      </c>
      <c r="E10" s="180">
        <v>65312</v>
      </c>
      <c r="F10" s="182">
        <v>1076</v>
      </c>
      <c r="G10" s="320">
        <f>E10+F10</f>
        <v>66388</v>
      </c>
      <c r="H10" s="181">
        <f>(D10-G10)/G10*100</f>
        <v>-1.4385129842742663</v>
      </c>
      <c r="I10" s="27"/>
      <c r="J10" s="27"/>
    </row>
    <row r="11" spans="1:12" x14ac:dyDescent="0.2">
      <c r="A11" s="409" t="s">
        <v>212</v>
      </c>
      <c r="B11" s="180">
        <v>19939</v>
      </c>
      <c r="C11" s="180">
        <v>994</v>
      </c>
      <c r="D11" s="320">
        <f>B11+C11</f>
        <v>20933</v>
      </c>
      <c r="E11" s="180">
        <v>17221</v>
      </c>
      <c r="F11" s="182">
        <v>924</v>
      </c>
      <c r="G11" s="320">
        <f>E11+F11</f>
        <v>18145</v>
      </c>
      <c r="H11" s="181">
        <f>(D11-G11)/G11*100</f>
        <v>15.365114356572057</v>
      </c>
      <c r="I11" s="27"/>
      <c r="J11" s="27"/>
    </row>
    <row r="12" spans="1:12" x14ac:dyDescent="0.2">
      <c r="A12" s="408" t="s">
        <v>213</v>
      </c>
      <c r="B12" s="180">
        <v>70581</v>
      </c>
      <c r="C12" s="180">
        <v>1064</v>
      </c>
      <c r="D12" s="320">
        <f>B12+C12</f>
        <v>71645</v>
      </c>
      <c r="E12" s="180">
        <v>71702</v>
      </c>
      <c r="F12" s="182">
        <v>1006</v>
      </c>
      <c r="G12" s="320">
        <f>E12+F12</f>
        <v>72708</v>
      </c>
      <c r="H12" s="181">
        <f>(D12-G12)/G12*100</f>
        <v>-1.4620124332948232</v>
      </c>
      <c r="I12" s="27"/>
      <c r="J12" s="27"/>
    </row>
    <row r="13" spans="1:12" x14ac:dyDescent="0.2">
      <c r="A13" s="408" t="s">
        <v>214</v>
      </c>
      <c r="B13" s="180">
        <v>6537</v>
      </c>
      <c r="C13" s="180">
        <v>893</v>
      </c>
      <c r="D13" s="320">
        <f>B13+C13</f>
        <v>7430</v>
      </c>
      <c r="E13" s="180">
        <v>6981</v>
      </c>
      <c r="F13" s="182">
        <v>996</v>
      </c>
      <c r="G13" s="320">
        <f>E13+F13</f>
        <v>7977</v>
      </c>
      <c r="H13" s="181">
        <f>(D13-G13)/G13*100</f>
        <v>-6.857214491663532</v>
      </c>
      <c r="I13" s="27"/>
      <c r="J13" s="27"/>
    </row>
    <row r="14" spans="1:12" x14ac:dyDescent="0.2">
      <c r="A14" s="410" t="s">
        <v>215</v>
      </c>
      <c r="B14" s="183"/>
      <c r="C14" s="183">
        <v>-3532</v>
      </c>
      <c r="D14" s="237">
        <f>B14+C14</f>
        <v>-3532</v>
      </c>
      <c r="E14" s="183"/>
      <c r="F14" s="183">
        <v>-4002</v>
      </c>
      <c r="G14" s="237">
        <f>E14+F14</f>
        <v>-4002</v>
      </c>
      <c r="H14" s="184"/>
      <c r="I14" s="27"/>
      <c r="J14" s="27"/>
    </row>
    <row r="15" spans="1:12" x14ac:dyDescent="0.2">
      <c r="A15" s="411" t="s">
        <v>216</v>
      </c>
      <c r="B15" s="45">
        <f t="shared" ref="B15:G15" si="0">SUM(B10:B14)</f>
        <v>161909</v>
      </c>
      <c r="C15" s="45">
        <f t="shared" si="0"/>
        <v>0</v>
      </c>
      <c r="D15" s="258">
        <f t="shared" si="0"/>
        <v>161909</v>
      </c>
      <c r="E15" s="45">
        <f t="shared" si="0"/>
        <v>161216</v>
      </c>
      <c r="F15" s="45">
        <f t="shared" si="0"/>
        <v>0</v>
      </c>
      <c r="G15" s="258">
        <f t="shared" si="0"/>
        <v>161216</v>
      </c>
      <c r="H15" s="181">
        <f>(D15-G15)/G15*100</f>
        <v>0.42985807860262004</v>
      </c>
      <c r="I15" s="27"/>
      <c r="J15" s="27"/>
    </row>
    <row r="16" spans="1:12" x14ac:dyDescent="0.2">
      <c r="A16" s="27"/>
      <c r="B16" s="45"/>
      <c r="C16" s="45"/>
      <c r="D16" s="45"/>
      <c r="E16" s="103"/>
      <c r="F16" s="103"/>
      <c r="G16" s="103"/>
      <c r="H16" s="210"/>
      <c r="I16" s="27"/>
      <c r="J16" s="31"/>
      <c r="L16" s="37"/>
    </row>
    <row r="17" spans="1:10" x14ac:dyDescent="0.2">
      <c r="A17" s="27"/>
      <c r="B17" s="85"/>
      <c r="C17" s="114" t="s">
        <v>32</v>
      </c>
      <c r="D17" s="257"/>
      <c r="E17" s="85"/>
      <c r="F17" s="114" t="s">
        <v>33</v>
      </c>
      <c r="G17" s="85"/>
      <c r="H17" s="166"/>
      <c r="I17" s="27"/>
      <c r="J17" s="27"/>
    </row>
    <row r="18" spans="1:10" ht="38.25" x14ac:dyDescent="0.2">
      <c r="A18" s="363" t="s">
        <v>38</v>
      </c>
      <c r="B18" s="86" t="s">
        <v>208</v>
      </c>
      <c r="C18" s="168" t="s">
        <v>209</v>
      </c>
      <c r="D18" s="407" t="s">
        <v>62</v>
      </c>
      <c r="E18" s="86" t="s">
        <v>208</v>
      </c>
      <c r="F18" s="168" t="s">
        <v>209</v>
      </c>
      <c r="G18" s="86" t="s">
        <v>62</v>
      </c>
      <c r="H18" s="167" t="s">
        <v>210</v>
      </c>
      <c r="I18" s="27"/>
      <c r="J18" s="27"/>
    </row>
    <row r="19" spans="1:10" x14ac:dyDescent="0.2">
      <c r="A19" s="27"/>
      <c r="B19" s="85"/>
      <c r="C19" s="104"/>
      <c r="D19" s="257"/>
      <c r="E19" s="85"/>
      <c r="F19" s="104"/>
      <c r="G19" s="104"/>
      <c r="H19" s="165"/>
      <c r="I19" s="27"/>
      <c r="J19" s="27"/>
    </row>
    <row r="20" spans="1:10" x14ac:dyDescent="0.2">
      <c r="A20" s="408" t="s">
        <v>211</v>
      </c>
      <c r="B20" s="180">
        <v>189653</v>
      </c>
      <c r="C20" s="180">
        <v>2578</v>
      </c>
      <c r="D20" s="320">
        <f>B20+C20</f>
        <v>192231</v>
      </c>
      <c r="E20" s="295">
        <v>196855</v>
      </c>
      <c r="F20" s="182">
        <v>4136</v>
      </c>
      <c r="G20" s="320">
        <f>E20+F20</f>
        <v>200991</v>
      </c>
      <c r="H20" s="181">
        <f>(D20-G20)/G20*100</f>
        <v>-4.3584041076466109</v>
      </c>
      <c r="I20" s="27"/>
      <c r="J20" s="27"/>
    </row>
    <row r="21" spans="1:10" x14ac:dyDescent="0.2">
      <c r="A21" s="409" t="s">
        <v>212</v>
      </c>
      <c r="B21" s="180">
        <v>51927</v>
      </c>
      <c r="C21" s="180">
        <v>2738</v>
      </c>
      <c r="D21" s="320">
        <f>B21+C21</f>
        <v>54665</v>
      </c>
      <c r="E21" s="295">
        <v>48798</v>
      </c>
      <c r="F21" s="182">
        <v>2428</v>
      </c>
      <c r="G21" s="320">
        <f>E21+F21</f>
        <v>51226</v>
      </c>
      <c r="H21" s="181">
        <f>(D21-G21)/G21*100</f>
        <v>6.7133877327919418</v>
      </c>
      <c r="I21" s="27"/>
      <c r="J21" s="27"/>
    </row>
    <row r="22" spans="1:10" x14ac:dyDescent="0.2">
      <c r="A22" s="408" t="s">
        <v>213</v>
      </c>
      <c r="B22" s="180">
        <v>217681</v>
      </c>
      <c r="C22" s="180">
        <v>3155</v>
      </c>
      <c r="D22" s="320">
        <f>B22+C22</f>
        <v>220836</v>
      </c>
      <c r="E22" s="295">
        <v>221924</v>
      </c>
      <c r="F22" s="182">
        <v>2780</v>
      </c>
      <c r="G22" s="320">
        <f>E22+F22</f>
        <v>224704</v>
      </c>
      <c r="H22" s="181">
        <f>(D22-G22)/G22*100</f>
        <v>-1.7213756764454573</v>
      </c>
      <c r="I22" s="27"/>
      <c r="J22" s="27"/>
    </row>
    <row r="23" spans="1:10" x14ac:dyDescent="0.2">
      <c r="A23" s="408" t="s">
        <v>214</v>
      </c>
      <c r="B23" s="180">
        <v>39251</v>
      </c>
      <c r="C23" s="180">
        <v>2940</v>
      </c>
      <c r="D23" s="320">
        <f>B23+C23</f>
        <v>42191</v>
      </c>
      <c r="E23" s="295">
        <v>34617</v>
      </c>
      <c r="F23" s="182">
        <v>3043</v>
      </c>
      <c r="G23" s="320">
        <f>E23+F23</f>
        <v>37660</v>
      </c>
      <c r="H23" s="181">
        <f>(D23-G23)/G23*100</f>
        <v>12.03133297928837</v>
      </c>
      <c r="I23" s="27"/>
      <c r="J23" s="27"/>
    </row>
    <row r="24" spans="1:10" x14ac:dyDescent="0.2">
      <c r="A24" s="410" t="s">
        <v>215</v>
      </c>
      <c r="B24" s="183"/>
      <c r="C24" s="183">
        <v>-11411</v>
      </c>
      <c r="D24" s="237">
        <f>B24+C24</f>
        <v>-11411</v>
      </c>
      <c r="E24" s="183"/>
      <c r="F24" s="183">
        <v>-12387</v>
      </c>
      <c r="G24" s="237">
        <f>E24+F24</f>
        <v>-12387</v>
      </c>
      <c r="H24" s="184"/>
      <c r="I24" s="27"/>
      <c r="J24" s="27"/>
    </row>
    <row r="25" spans="1:10" x14ac:dyDescent="0.2">
      <c r="A25" s="411" t="s">
        <v>216</v>
      </c>
      <c r="B25" s="45">
        <f t="shared" ref="B25:G25" si="1">SUM(B20:B24)</f>
        <v>498512</v>
      </c>
      <c r="C25" s="45">
        <f t="shared" si="1"/>
        <v>0</v>
      </c>
      <c r="D25" s="258">
        <f t="shared" si="1"/>
        <v>498512</v>
      </c>
      <c r="E25" s="45">
        <f t="shared" si="1"/>
        <v>502194</v>
      </c>
      <c r="F25" s="45">
        <f t="shared" si="1"/>
        <v>0</v>
      </c>
      <c r="G25" s="258">
        <f t="shared" si="1"/>
        <v>502194</v>
      </c>
      <c r="H25" s="181">
        <f>(D25-G25)/G25*100</f>
        <v>-0.73318279390036523</v>
      </c>
      <c r="I25" s="27"/>
      <c r="J25" s="27"/>
    </row>
    <row r="26" spans="1:10" x14ac:dyDescent="0.2">
      <c r="A26" s="27"/>
      <c r="B26" s="45"/>
      <c r="C26" s="45"/>
      <c r="D26" s="45"/>
      <c r="E26" s="103"/>
      <c r="F26" s="279"/>
      <c r="G26" s="103"/>
      <c r="H26" s="210"/>
      <c r="I26" s="27"/>
      <c r="J26" s="27"/>
    </row>
    <row r="27" spans="1:10" x14ac:dyDescent="0.2">
      <c r="A27" s="27"/>
      <c r="B27" s="85"/>
      <c r="C27" s="114" t="s">
        <v>26</v>
      </c>
      <c r="D27" s="85"/>
      <c r="E27" s="165"/>
      <c r="F27" s="114"/>
      <c r="G27" s="104"/>
      <c r="H27" s="261"/>
      <c r="I27" s="27"/>
      <c r="J27" s="27"/>
    </row>
    <row r="28" spans="1:10" ht="25.5" x14ac:dyDescent="0.2">
      <c r="A28" s="363" t="s">
        <v>38</v>
      </c>
      <c r="B28" s="86" t="s">
        <v>208</v>
      </c>
      <c r="C28" s="168" t="s">
        <v>209</v>
      </c>
      <c r="D28" s="407" t="s">
        <v>62</v>
      </c>
      <c r="E28" s="259"/>
      <c r="F28" s="260"/>
      <c r="G28" s="260"/>
      <c r="H28" s="260"/>
      <c r="I28" s="27"/>
      <c r="J28" s="27"/>
    </row>
    <row r="29" spans="1:10" x14ac:dyDescent="0.2">
      <c r="A29" s="27"/>
      <c r="B29" s="85"/>
      <c r="C29" s="104"/>
      <c r="D29" s="104"/>
      <c r="E29" s="165"/>
      <c r="F29" s="104"/>
      <c r="G29" s="104"/>
      <c r="H29" s="104"/>
      <c r="I29" s="27"/>
      <c r="J29" s="27"/>
    </row>
    <row r="30" spans="1:10" x14ac:dyDescent="0.2">
      <c r="A30" s="408" t="s">
        <v>211</v>
      </c>
      <c r="B30" s="180">
        <v>259791</v>
      </c>
      <c r="C30" s="182">
        <v>5870</v>
      </c>
      <c r="D30" s="182">
        <f>SUM(B30:C30)</f>
        <v>265661</v>
      </c>
      <c r="E30" s="295"/>
      <c r="F30" s="182"/>
      <c r="G30" s="182"/>
      <c r="H30" s="210"/>
      <c r="I30" s="27"/>
      <c r="J30" s="27"/>
    </row>
    <row r="31" spans="1:10" x14ac:dyDescent="0.2">
      <c r="A31" s="409" t="s">
        <v>212</v>
      </c>
      <c r="B31" s="180">
        <v>66863</v>
      </c>
      <c r="C31" s="182">
        <v>3133</v>
      </c>
      <c r="D31" s="182">
        <f>SUM(B31:C31)</f>
        <v>69996</v>
      </c>
      <c r="E31" s="295"/>
      <c r="F31" s="182"/>
      <c r="G31" s="182"/>
      <c r="H31" s="210"/>
      <c r="I31" s="27"/>
      <c r="J31" s="27"/>
    </row>
    <row r="32" spans="1:10" x14ac:dyDescent="0.2">
      <c r="A32" s="408" t="s">
        <v>213</v>
      </c>
      <c r="B32" s="180">
        <v>295451</v>
      </c>
      <c r="C32" s="182">
        <v>4042</v>
      </c>
      <c r="D32" s="182">
        <f>SUM(B32:C32)</f>
        <v>299493</v>
      </c>
      <c r="E32" s="295"/>
      <c r="F32" s="182"/>
      <c r="G32" s="182"/>
      <c r="H32" s="210"/>
      <c r="I32" s="27"/>
      <c r="J32" s="27"/>
    </row>
    <row r="33" spans="1:10" x14ac:dyDescent="0.2">
      <c r="A33" s="408" t="s">
        <v>214</v>
      </c>
      <c r="B33" s="180">
        <v>51880</v>
      </c>
      <c r="C33" s="182">
        <v>4067</v>
      </c>
      <c r="D33" s="182">
        <f>SUM(B33:C33)</f>
        <v>55947</v>
      </c>
      <c r="E33" s="295"/>
      <c r="F33" s="182"/>
      <c r="G33" s="182"/>
      <c r="H33" s="210"/>
      <c r="I33" s="27"/>
      <c r="J33" s="27"/>
    </row>
    <row r="34" spans="1:10" x14ac:dyDescent="0.2">
      <c r="A34" s="410" t="s">
        <v>215</v>
      </c>
      <c r="B34" s="183"/>
      <c r="C34" s="183">
        <v>-17112</v>
      </c>
      <c r="D34" s="183">
        <f>SUM(B34:C34)</f>
        <v>-17112</v>
      </c>
      <c r="E34" s="295"/>
      <c r="F34" s="182"/>
      <c r="G34" s="182"/>
      <c r="H34" s="210"/>
      <c r="I34" s="27"/>
      <c r="J34" s="27"/>
    </row>
    <row r="35" spans="1:10" x14ac:dyDescent="0.2">
      <c r="A35" s="411" t="s">
        <v>216</v>
      </c>
      <c r="B35" s="45">
        <f>SUM(B30:B34)</f>
        <v>673985</v>
      </c>
      <c r="C35" s="45">
        <f>SUM(C30:C34)</f>
        <v>0</v>
      </c>
      <c r="D35" s="45">
        <f>SUM(D30:D34)</f>
        <v>673985</v>
      </c>
      <c r="E35" s="179"/>
      <c r="F35" s="103"/>
      <c r="G35" s="103"/>
      <c r="H35" s="210"/>
      <c r="I35" s="27"/>
      <c r="J35" s="27"/>
    </row>
    <row r="36" spans="1:10" x14ac:dyDescent="0.2">
      <c r="A36" s="27"/>
      <c r="B36" s="45"/>
      <c r="C36" s="45"/>
      <c r="D36" s="45"/>
      <c r="E36" s="103"/>
      <c r="F36" s="103"/>
      <c r="G36" s="103"/>
      <c r="H36" s="210"/>
      <c r="I36" s="27"/>
      <c r="J36" s="27"/>
    </row>
    <row r="37" spans="1:10" x14ac:dyDescent="0.2">
      <c r="A37" s="27"/>
      <c r="B37" s="45"/>
      <c r="C37" s="279"/>
      <c r="D37" s="45"/>
      <c r="E37" s="103"/>
      <c r="F37" s="103"/>
      <c r="G37" s="103"/>
      <c r="H37" s="210"/>
      <c r="I37" s="27"/>
      <c r="J37" s="27"/>
    </row>
    <row r="38" spans="1:10" hidden="1" x14ac:dyDescent="0.2">
      <c r="A38" s="27"/>
      <c r="B38" s="27"/>
      <c r="C38" s="114" t="s">
        <v>11</v>
      </c>
      <c r="D38" s="85"/>
      <c r="E38" s="85"/>
      <c r="F38" s="85"/>
      <c r="G38" s="85"/>
      <c r="H38" s="85"/>
      <c r="I38" s="27"/>
      <c r="J38" s="27"/>
    </row>
    <row r="39" spans="1:10" ht="25.5" hidden="1" x14ac:dyDescent="0.2">
      <c r="A39" s="29" t="s">
        <v>3</v>
      </c>
      <c r="B39" s="86" t="s">
        <v>8</v>
      </c>
      <c r="C39" s="168" t="s">
        <v>10</v>
      </c>
      <c r="D39" s="86" t="s">
        <v>2</v>
      </c>
      <c r="E39" s="98"/>
      <c r="F39" s="98"/>
      <c r="I39" s="27"/>
      <c r="J39" s="27"/>
    </row>
    <row r="40" spans="1:10" hidden="1" x14ac:dyDescent="0.2">
      <c r="A40" s="27"/>
      <c r="B40" s="85"/>
      <c r="C40" s="104"/>
      <c r="D40" s="104"/>
      <c r="E40" s="98"/>
      <c r="F40" s="98"/>
      <c r="I40" s="27"/>
      <c r="J40" s="27"/>
    </row>
    <row r="41" spans="1:10" hidden="1" x14ac:dyDescent="0.2">
      <c r="A41" s="30" t="s">
        <v>6</v>
      </c>
      <c r="B41" s="180"/>
      <c r="C41" s="182"/>
      <c r="D41" s="182">
        <f>SUM(B41:C41)</f>
        <v>0</v>
      </c>
      <c r="E41" s="98"/>
      <c r="F41" s="98"/>
      <c r="I41" s="27"/>
      <c r="J41" s="27"/>
    </row>
    <row r="42" spans="1:10" hidden="1" x14ac:dyDescent="0.2">
      <c r="A42" s="30" t="s">
        <v>16</v>
      </c>
      <c r="B42" s="180"/>
      <c r="C42" s="182"/>
      <c r="D42" s="182">
        <f>SUM(B42:C42)</f>
        <v>0</v>
      </c>
      <c r="E42" s="98"/>
      <c r="F42" s="98"/>
      <c r="I42" s="27"/>
      <c r="J42" s="27"/>
    </row>
    <row r="43" spans="1:10" hidden="1" x14ac:dyDescent="0.2">
      <c r="A43" s="30" t="s">
        <v>15</v>
      </c>
      <c r="B43" s="180"/>
      <c r="C43" s="182"/>
      <c r="D43" s="182">
        <f>SUM(B43:C43)</f>
        <v>0</v>
      </c>
      <c r="E43" s="98"/>
      <c r="F43" s="98"/>
      <c r="I43" s="27"/>
      <c r="J43" s="27"/>
    </row>
    <row r="44" spans="1:10" hidden="1" x14ac:dyDescent="0.2">
      <c r="A44" s="30" t="s">
        <v>12</v>
      </c>
      <c r="B44" s="180"/>
      <c r="C44" s="182"/>
      <c r="D44" s="182">
        <f>SUM(B44:C44)</f>
        <v>0</v>
      </c>
      <c r="E44" s="98"/>
      <c r="F44" s="98"/>
      <c r="I44" s="27"/>
      <c r="J44" s="27"/>
    </row>
    <row r="45" spans="1:10" hidden="1" x14ac:dyDescent="0.2">
      <c r="A45" s="33" t="s">
        <v>9</v>
      </c>
      <c r="B45" s="183"/>
      <c r="C45" s="183"/>
      <c r="D45" s="183">
        <f>SUM(B45:C45)</f>
        <v>0</v>
      </c>
      <c r="E45" s="98"/>
      <c r="F45" s="98"/>
      <c r="I45" s="27"/>
      <c r="J45" s="27"/>
    </row>
    <row r="46" spans="1:10" hidden="1" x14ac:dyDescent="0.2">
      <c r="A46" s="27" t="s">
        <v>2</v>
      </c>
      <c r="B46" s="45">
        <f>SUM(B41:B45)</f>
        <v>0</v>
      </c>
      <c r="C46" s="45">
        <f>SUM(C41:C45)</f>
        <v>0</v>
      </c>
      <c r="D46" s="45">
        <f>SUM(D41:D45)</f>
        <v>0</v>
      </c>
      <c r="E46" s="98"/>
      <c r="F46" s="98"/>
      <c r="I46" s="27"/>
      <c r="J46" s="27"/>
    </row>
    <row r="47" spans="1:10" hidden="1" x14ac:dyDescent="0.2">
      <c r="A47" s="26"/>
      <c r="B47" s="26"/>
      <c r="C47" s="122"/>
      <c r="D47" s="122"/>
      <c r="E47" s="85"/>
      <c r="F47" s="85"/>
      <c r="G47" s="85"/>
      <c r="H47" s="27"/>
      <c r="I47" s="27"/>
      <c r="J47" s="27"/>
    </row>
    <row r="48" spans="1:10" x14ac:dyDescent="0.2">
      <c r="A48" s="27"/>
      <c r="B48" s="85"/>
      <c r="C48" s="85"/>
      <c r="D48" s="85"/>
      <c r="E48" s="85"/>
      <c r="F48" s="85"/>
      <c r="G48" s="85"/>
      <c r="H48" s="27"/>
      <c r="I48" s="28"/>
      <c r="J48" s="28"/>
    </row>
    <row r="49" spans="1:11" x14ac:dyDescent="0.2">
      <c r="A49" s="406" t="s">
        <v>217</v>
      </c>
      <c r="B49" s="122"/>
      <c r="C49" s="122"/>
      <c r="D49" s="122"/>
      <c r="E49" s="85"/>
      <c r="F49" s="85"/>
      <c r="G49" s="85"/>
      <c r="H49" s="27"/>
      <c r="I49" s="28"/>
      <c r="J49" s="28"/>
    </row>
    <row r="50" spans="1:11" x14ac:dyDescent="0.2">
      <c r="A50" s="27"/>
      <c r="B50" s="85"/>
      <c r="C50" s="85"/>
      <c r="D50" s="279"/>
      <c r="E50" s="122"/>
      <c r="F50" s="279"/>
      <c r="G50" s="123"/>
      <c r="H50" s="279"/>
      <c r="I50" s="34"/>
      <c r="J50" s="279"/>
    </row>
    <row r="51" spans="1:11" x14ac:dyDescent="0.2">
      <c r="A51" s="363" t="s">
        <v>38</v>
      </c>
      <c r="B51" s="84" t="str">
        <f>C7</f>
        <v>7-9/2013</v>
      </c>
      <c r="C51" s="86" t="s">
        <v>0</v>
      </c>
      <c r="D51" s="84" t="str">
        <f>F7</f>
        <v>7-9/2012</v>
      </c>
      <c r="E51" s="86" t="s">
        <v>0</v>
      </c>
      <c r="F51" s="84" t="str">
        <f>C17</f>
        <v>1-9/2013</v>
      </c>
      <c r="G51" s="86" t="s">
        <v>0</v>
      </c>
      <c r="H51" s="84" t="str">
        <f>F17</f>
        <v>1-9/2012</v>
      </c>
      <c r="I51" s="86" t="s">
        <v>0</v>
      </c>
      <c r="J51" s="84" t="str">
        <f>C27</f>
        <v>1-12/2012</v>
      </c>
      <c r="K51" s="86" t="s">
        <v>0</v>
      </c>
    </row>
    <row r="52" spans="1:11" x14ac:dyDescent="0.2">
      <c r="A52" s="85"/>
      <c r="B52" s="85"/>
      <c r="C52" s="112"/>
      <c r="D52" s="85"/>
      <c r="E52" s="85"/>
      <c r="F52" s="85"/>
      <c r="G52" s="112"/>
      <c r="H52" s="85"/>
      <c r="I52" s="85"/>
      <c r="J52" s="85"/>
      <c r="K52" s="112"/>
    </row>
    <row r="53" spans="1:11" x14ac:dyDescent="0.2">
      <c r="A53" s="408" t="s">
        <v>211</v>
      </c>
      <c r="B53" s="180">
        <v>11888</v>
      </c>
      <c r="C53" s="92">
        <f>B53/D10*100</f>
        <v>18.168202588907736</v>
      </c>
      <c r="D53" s="180">
        <v>11019</v>
      </c>
      <c r="E53" s="87">
        <f>D53/G10*100</f>
        <v>16.597879134783394</v>
      </c>
      <c r="F53" s="180">
        <v>27171</v>
      </c>
      <c r="G53" s="92">
        <f>F53/D20*100</f>
        <v>14.134556861276277</v>
      </c>
      <c r="H53" s="180">
        <v>27659</v>
      </c>
      <c r="I53" s="87">
        <f>H53/G20*100</f>
        <v>13.761312695593336</v>
      </c>
      <c r="J53" s="180">
        <v>34251</v>
      </c>
      <c r="K53" s="92">
        <f>J53/D30*100</f>
        <v>12.892746771261118</v>
      </c>
    </row>
    <row r="54" spans="1:11" x14ac:dyDescent="0.2">
      <c r="A54" s="409" t="s">
        <v>212</v>
      </c>
      <c r="B54" s="180">
        <v>2281</v>
      </c>
      <c r="C54" s="92">
        <f>B54/D11*100</f>
        <v>10.896670329145367</v>
      </c>
      <c r="D54" s="180">
        <v>1789</v>
      </c>
      <c r="E54" s="87">
        <f>D54/G11*100</f>
        <v>9.8594654174703766</v>
      </c>
      <c r="F54" s="180">
        <v>3657</v>
      </c>
      <c r="G54" s="92">
        <f>F54/D21*100</f>
        <v>6.6898381048202689</v>
      </c>
      <c r="H54" s="180">
        <v>2731</v>
      </c>
      <c r="I54" s="87">
        <f>H54/G21*100</f>
        <v>5.3312770858548397</v>
      </c>
      <c r="J54" s="180">
        <v>3892</v>
      </c>
      <c r="K54" s="92">
        <f>J54/D31*100</f>
        <v>5.5603177324418533</v>
      </c>
    </row>
    <row r="55" spans="1:11" x14ac:dyDescent="0.2">
      <c r="A55" s="408" t="s">
        <v>213</v>
      </c>
      <c r="B55" s="180">
        <v>6745</v>
      </c>
      <c r="C55" s="92">
        <f>B55/D12*100</f>
        <v>9.4144741433456627</v>
      </c>
      <c r="D55" s="180">
        <v>7843</v>
      </c>
      <c r="E55" s="87">
        <f>D55/G12*100</f>
        <v>10.786983550640921</v>
      </c>
      <c r="F55" s="180">
        <v>10004</v>
      </c>
      <c r="G55" s="92">
        <f>F55/D22*100</f>
        <v>4.5300585049539022</v>
      </c>
      <c r="H55" s="180">
        <v>10464</v>
      </c>
      <c r="I55" s="87">
        <f>H55/G22*100</f>
        <v>4.6567929364853313</v>
      </c>
      <c r="J55" s="180">
        <v>12980</v>
      </c>
      <c r="K55" s="92">
        <f>J55/D32*100</f>
        <v>4.3339911116453473</v>
      </c>
    </row>
    <row r="56" spans="1:11" x14ac:dyDescent="0.2">
      <c r="A56" s="408" t="s">
        <v>214</v>
      </c>
      <c r="B56" s="180">
        <v>-203</v>
      </c>
      <c r="C56" s="92">
        <f>B56/D13*100</f>
        <v>-2.7321668909825036</v>
      </c>
      <c r="D56" s="180">
        <v>-384</v>
      </c>
      <c r="E56" s="87">
        <f>D56/G13*100</f>
        <v>-4.8138397893945095</v>
      </c>
      <c r="F56" s="180">
        <v>858</v>
      </c>
      <c r="G56" s="92">
        <f>F56/D23*100</f>
        <v>2.0336090635443576</v>
      </c>
      <c r="H56" s="180">
        <v>-330</v>
      </c>
      <c r="I56" s="87">
        <f>H56/G23*100</f>
        <v>-0.87626128518321822</v>
      </c>
      <c r="J56" s="180">
        <v>-61</v>
      </c>
      <c r="K56" s="92">
        <f>J56/D33*100</f>
        <v>-0.10903176220351403</v>
      </c>
    </row>
    <row r="57" spans="1:11" x14ac:dyDescent="0.2">
      <c r="A57" s="410" t="s">
        <v>218</v>
      </c>
      <c r="B57" s="183">
        <v>-692</v>
      </c>
      <c r="C57" s="238"/>
      <c r="D57" s="183">
        <v>-638</v>
      </c>
      <c r="E57" s="88"/>
      <c r="F57" s="183">
        <v>-6892</v>
      </c>
      <c r="G57" s="238"/>
      <c r="H57" s="183">
        <v>-1818</v>
      </c>
      <c r="I57" s="88"/>
      <c r="J57" s="183">
        <v>-2671</v>
      </c>
      <c r="K57" s="247" t="s">
        <v>22</v>
      </c>
    </row>
    <row r="58" spans="1:11" x14ac:dyDescent="0.2">
      <c r="A58" s="411" t="s">
        <v>216</v>
      </c>
      <c r="B58" s="45">
        <f>SUM(B53:B57)</f>
        <v>20019</v>
      </c>
      <c r="C58" s="113">
        <f>B58/D15*100</f>
        <v>12.364352815470419</v>
      </c>
      <c r="D58" s="45">
        <f>SUM(D53:D57)</f>
        <v>19629</v>
      </c>
      <c r="E58" s="87">
        <f>D58/G15*100</f>
        <v>12.175590512107979</v>
      </c>
      <c r="F58" s="45">
        <f>SUM(F53:F57)</f>
        <v>34798</v>
      </c>
      <c r="G58" s="113">
        <f>F58/D25*100</f>
        <v>6.9803735918092249</v>
      </c>
      <c r="H58" s="45">
        <f>SUM(H53:H57)</f>
        <v>38706</v>
      </c>
      <c r="I58" s="87">
        <f>H58/G25*100</f>
        <v>7.7073800164876527</v>
      </c>
      <c r="J58" s="45">
        <f>SUM(J53:J57)</f>
        <v>48391</v>
      </c>
      <c r="K58" s="92">
        <f>J58/D35*100</f>
        <v>7.1798333790811366</v>
      </c>
    </row>
    <row r="59" spans="1:11" x14ac:dyDescent="0.2">
      <c r="A59" s="412" t="s">
        <v>219</v>
      </c>
      <c r="B59" s="46">
        <v>-1132</v>
      </c>
      <c r="C59" s="239"/>
      <c r="D59" s="46">
        <v>-568</v>
      </c>
      <c r="E59" s="46"/>
      <c r="F59" s="46">
        <v>-2130</v>
      </c>
      <c r="G59" s="239"/>
      <c r="H59" s="46">
        <v>-4884</v>
      </c>
      <c r="I59" s="46"/>
      <c r="J59" s="46">
        <v>-5396</v>
      </c>
      <c r="K59" s="239"/>
    </row>
    <row r="60" spans="1:11" x14ac:dyDescent="0.2">
      <c r="A60" s="413" t="s">
        <v>51</v>
      </c>
      <c r="B60" s="45">
        <f>SUM(B58:B59)</f>
        <v>18887</v>
      </c>
      <c r="C60" s="27"/>
      <c r="D60" s="45">
        <f>SUM(D58:D59)</f>
        <v>19061</v>
      </c>
      <c r="E60" s="31"/>
      <c r="F60" s="45">
        <f>SUM(F58:F59)</f>
        <v>32668</v>
      </c>
      <c r="G60" s="27"/>
      <c r="H60" s="45">
        <f>SUM(H58:H59)</f>
        <v>33822</v>
      </c>
      <c r="I60" s="31"/>
      <c r="J60" s="45">
        <f>SUM(J58:J59)</f>
        <v>42995</v>
      </c>
      <c r="K60" s="27"/>
    </row>
    <row r="61" spans="1:11" x14ac:dyDescent="0.2">
      <c r="A61" s="27"/>
      <c r="B61" s="27"/>
      <c r="C61" s="27"/>
      <c r="D61" s="27"/>
      <c r="E61" s="31"/>
      <c r="F61" s="35"/>
      <c r="G61" s="35"/>
      <c r="H61" s="32"/>
      <c r="I61" s="31"/>
      <c r="J61" s="35"/>
    </row>
    <row r="62" spans="1:11" x14ac:dyDescent="0.2">
      <c r="A62" s="415" t="s">
        <v>222</v>
      </c>
      <c r="B62" s="25" t="s">
        <v>22</v>
      </c>
      <c r="C62" s="25"/>
      <c r="D62" s="25"/>
      <c r="E62" s="25"/>
      <c r="F62" s="25"/>
    </row>
    <row r="63" spans="1:11" x14ac:dyDescent="0.2">
      <c r="B63" s="98"/>
      <c r="C63" s="279"/>
      <c r="D63" s="279"/>
      <c r="E63" s="36"/>
      <c r="F63" s="36"/>
      <c r="G63" s="37"/>
    </row>
    <row r="64" spans="1:11" x14ac:dyDescent="0.2">
      <c r="A64" s="363" t="s">
        <v>38</v>
      </c>
      <c r="B64" s="191" t="s">
        <v>34</v>
      </c>
      <c r="C64" s="191" t="s">
        <v>35</v>
      </c>
      <c r="D64" s="191" t="s">
        <v>27</v>
      </c>
      <c r="E64" s="41"/>
      <c r="F64" s="41"/>
      <c r="G64" s="38"/>
    </row>
    <row r="65" spans="1:7" x14ac:dyDescent="0.2">
      <c r="A65" s="414"/>
      <c r="E65" s="89"/>
      <c r="F65" s="89"/>
      <c r="G65" s="38"/>
    </row>
    <row r="66" spans="1:7" x14ac:dyDescent="0.2">
      <c r="A66" s="415" t="s">
        <v>220</v>
      </c>
      <c r="E66" s="90"/>
      <c r="F66" s="90"/>
      <c r="G66" s="38"/>
    </row>
    <row r="67" spans="1:7" x14ac:dyDescent="0.2">
      <c r="A67" s="408" t="s">
        <v>211</v>
      </c>
      <c r="B67" s="37">
        <v>217333</v>
      </c>
      <c r="C67" s="37">
        <v>235573</v>
      </c>
      <c r="D67" s="37">
        <v>228457</v>
      </c>
      <c r="E67" s="39"/>
      <c r="F67" s="39"/>
      <c r="G67" s="38"/>
    </row>
    <row r="68" spans="1:7" x14ac:dyDescent="0.2">
      <c r="A68" s="409" t="s">
        <v>212</v>
      </c>
      <c r="B68" s="37">
        <v>74203</v>
      </c>
      <c r="C68" s="37">
        <v>81507</v>
      </c>
      <c r="D68" s="37">
        <v>81573</v>
      </c>
      <c r="E68" s="39"/>
      <c r="F68" s="39"/>
      <c r="G68" s="38"/>
    </row>
    <row r="69" spans="1:7" x14ac:dyDescent="0.2">
      <c r="A69" s="408" t="s">
        <v>213</v>
      </c>
      <c r="B69" s="37">
        <v>112483</v>
      </c>
      <c r="C69" s="37">
        <v>108542</v>
      </c>
      <c r="D69" s="37">
        <v>105718</v>
      </c>
      <c r="E69" s="39"/>
      <c r="F69" s="39"/>
      <c r="G69" s="38"/>
    </row>
    <row r="70" spans="1:7" x14ac:dyDescent="0.2">
      <c r="A70" s="408" t="s">
        <v>214</v>
      </c>
      <c r="B70" s="37">
        <v>30811</v>
      </c>
      <c r="C70" s="37">
        <v>30565</v>
      </c>
      <c r="D70" s="37">
        <v>30179</v>
      </c>
      <c r="E70" s="39"/>
      <c r="F70" s="39"/>
      <c r="G70" s="38"/>
    </row>
    <row r="71" spans="1:7" x14ac:dyDescent="0.2">
      <c r="A71" s="416" t="s">
        <v>218</v>
      </c>
      <c r="B71" s="37">
        <v>7477</v>
      </c>
      <c r="C71" s="37">
        <v>9847</v>
      </c>
      <c r="D71" s="37">
        <v>9853</v>
      </c>
      <c r="E71" s="39"/>
      <c r="F71" s="39"/>
      <c r="G71" s="38"/>
    </row>
    <row r="72" spans="1:7" x14ac:dyDescent="0.2">
      <c r="A72" s="412" t="s">
        <v>221</v>
      </c>
      <c r="B72" s="195">
        <f>33065-1</f>
        <v>33064</v>
      </c>
      <c r="C72" s="195">
        <f>19961-1</f>
        <v>19960</v>
      </c>
      <c r="D72" s="195">
        <v>25473</v>
      </c>
      <c r="E72" s="39"/>
      <c r="F72" s="39"/>
      <c r="G72" s="38"/>
    </row>
    <row r="73" spans="1:7" x14ac:dyDescent="0.2">
      <c r="A73" s="411" t="s">
        <v>216</v>
      </c>
      <c r="B73" s="37">
        <f>SUM(B67:B72)</f>
        <v>475371</v>
      </c>
      <c r="C73" s="37">
        <f>SUM(C67:C72)</f>
        <v>485994</v>
      </c>
      <c r="D73" s="37">
        <f>SUM(D67:D72)</f>
        <v>481253</v>
      </c>
      <c r="E73" s="39"/>
      <c r="F73" s="39"/>
      <c r="G73" s="38"/>
    </row>
    <row r="74" spans="1:7" x14ac:dyDescent="0.2">
      <c r="E74" s="39"/>
      <c r="F74" s="39"/>
      <c r="G74" s="38"/>
    </row>
    <row r="75" spans="1:7" x14ac:dyDescent="0.2">
      <c r="A75" s="415" t="s">
        <v>112</v>
      </c>
      <c r="B75" s="24" t="s">
        <v>22</v>
      </c>
      <c r="C75" s="24" t="s">
        <v>22</v>
      </c>
      <c r="D75" s="24" t="s">
        <v>22</v>
      </c>
      <c r="E75" s="90"/>
      <c r="F75" s="90"/>
      <c r="G75" s="38"/>
    </row>
    <row r="76" spans="1:7" x14ac:dyDescent="0.2">
      <c r="A76" s="408" t="s">
        <v>211</v>
      </c>
      <c r="B76" s="94">
        <v>45954</v>
      </c>
      <c r="C76" s="94">
        <v>42914</v>
      </c>
      <c r="D76" s="94">
        <v>42381</v>
      </c>
      <c r="E76" s="39"/>
      <c r="F76" s="39"/>
      <c r="G76" s="38"/>
    </row>
    <row r="77" spans="1:7" x14ac:dyDescent="0.2">
      <c r="A77" s="409" t="s">
        <v>212</v>
      </c>
      <c r="B77" s="95">
        <v>21381</v>
      </c>
      <c r="C77" s="95">
        <v>17771</v>
      </c>
      <c r="D77" s="95">
        <v>18687</v>
      </c>
      <c r="E77" s="39"/>
      <c r="F77" s="39"/>
      <c r="G77" s="38"/>
    </row>
    <row r="78" spans="1:7" x14ac:dyDescent="0.2">
      <c r="A78" s="408" t="s">
        <v>213</v>
      </c>
      <c r="B78" s="95">
        <v>47274</v>
      </c>
      <c r="C78" s="95">
        <v>45902</v>
      </c>
      <c r="D78" s="95">
        <v>50073</v>
      </c>
      <c r="E78" s="39"/>
      <c r="F78" s="39"/>
      <c r="G78" s="38"/>
    </row>
    <row r="79" spans="1:7" x14ac:dyDescent="0.2">
      <c r="A79" s="408" t="s">
        <v>214</v>
      </c>
      <c r="B79" s="95">
        <v>7397</v>
      </c>
      <c r="C79" s="95">
        <v>6662</v>
      </c>
      <c r="D79" s="95">
        <v>6094</v>
      </c>
      <c r="E79" s="39"/>
      <c r="F79" s="39"/>
      <c r="G79" s="38"/>
    </row>
    <row r="80" spans="1:7" x14ac:dyDescent="0.2">
      <c r="A80" s="416" t="s">
        <v>218</v>
      </c>
      <c r="B80" s="95">
        <v>1349</v>
      </c>
      <c r="C80" s="95">
        <v>1424</v>
      </c>
      <c r="D80" s="95">
        <v>1378</v>
      </c>
      <c r="E80" s="39"/>
      <c r="F80" s="39"/>
      <c r="G80" s="38"/>
    </row>
    <row r="81" spans="1:8" x14ac:dyDescent="0.2">
      <c r="A81" s="412" t="s">
        <v>223</v>
      </c>
      <c r="B81" s="96">
        <v>119284</v>
      </c>
      <c r="C81" s="96">
        <v>144538</v>
      </c>
      <c r="D81" s="96">
        <v>129637</v>
      </c>
      <c r="E81" s="39"/>
      <c r="F81" s="39"/>
      <c r="G81" s="38"/>
    </row>
    <row r="82" spans="1:8" x14ac:dyDescent="0.2">
      <c r="A82" s="411" t="s">
        <v>216</v>
      </c>
      <c r="B82" s="94">
        <f>SUM(B76:B81)</f>
        <v>242639</v>
      </c>
      <c r="C82" s="94">
        <f>SUM(C76:C81)</f>
        <v>259211</v>
      </c>
      <c r="D82" s="94">
        <f>SUM(D76:D81)</f>
        <v>248250</v>
      </c>
      <c r="E82" s="39"/>
      <c r="F82" s="39"/>
      <c r="G82" s="38"/>
    </row>
    <row r="83" spans="1:8" x14ac:dyDescent="0.2">
      <c r="A83" s="98"/>
      <c r="B83" s="98"/>
      <c r="C83" s="279"/>
      <c r="D83" s="98"/>
      <c r="E83" s="279"/>
      <c r="F83" s="39"/>
      <c r="G83" s="37"/>
      <c r="H83" s="38"/>
    </row>
    <row r="84" spans="1:8" x14ac:dyDescent="0.2">
      <c r="A84" s="363" t="s">
        <v>38</v>
      </c>
      <c r="B84" s="84" t="str">
        <f>B51</f>
        <v>7-9/2013</v>
      </c>
      <c r="C84" s="84" t="str">
        <f>D51</f>
        <v>7-9/2012</v>
      </c>
      <c r="D84" s="84" t="str">
        <f>F51</f>
        <v>1-9/2013</v>
      </c>
      <c r="E84" s="84" t="str">
        <f>H51</f>
        <v>1-9/2012</v>
      </c>
      <c r="F84" s="185" t="str">
        <f>J51</f>
        <v>1-12/2012</v>
      </c>
      <c r="G84" s="38"/>
    </row>
    <row r="85" spans="1:8" x14ac:dyDescent="0.2">
      <c r="A85" s="415" t="s">
        <v>224</v>
      </c>
      <c r="C85" s="186"/>
      <c r="E85" s="186"/>
      <c r="F85" s="186"/>
      <c r="G85" s="38"/>
    </row>
    <row r="86" spans="1:8" x14ac:dyDescent="0.2">
      <c r="A86" s="408" t="s">
        <v>211</v>
      </c>
      <c r="B86" s="94">
        <v>3902</v>
      </c>
      <c r="C86" s="94">
        <v>2974</v>
      </c>
      <c r="D86" s="94">
        <v>11259</v>
      </c>
      <c r="E86" s="94">
        <v>11029</v>
      </c>
      <c r="F86" s="94">
        <v>16149</v>
      </c>
      <c r="G86" s="39"/>
    </row>
    <row r="87" spans="1:8" x14ac:dyDescent="0.2">
      <c r="A87" s="409" t="s">
        <v>212</v>
      </c>
      <c r="B87" s="180">
        <v>714</v>
      </c>
      <c r="C87" s="180">
        <v>1916</v>
      </c>
      <c r="D87" s="180">
        <v>2299</v>
      </c>
      <c r="E87" s="180">
        <v>6415</v>
      </c>
      <c r="F87" s="180">
        <v>11272</v>
      </c>
      <c r="G87" s="38"/>
    </row>
    <row r="88" spans="1:8" x14ac:dyDescent="0.2">
      <c r="A88" s="408" t="s">
        <v>213</v>
      </c>
      <c r="B88" s="180">
        <v>2319</v>
      </c>
      <c r="C88" s="180">
        <v>3455</v>
      </c>
      <c r="D88" s="180">
        <v>7860</v>
      </c>
      <c r="E88" s="180">
        <v>11697</v>
      </c>
      <c r="F88" s="180">
        <v>14727</v>
      </c>
      <c r="G88" s="38"/>
    </row>
    <row r="89" spans="1:8" x14ac:dyDescent="0.2">
      <c r="A89" s="408" t="s">
        <v>214</v>
      </c>
      <c r="B89" s="95">
        <v>86</v>
      </c>
      <c r="C89" s="95">
        <v>43</v>
      </c>
      <c r="D89" s="95">
        <v>168</v>
      </c>
      <c r="E89" s="95">
        <v>373</v>
      </c>
      <c r="F89" s="95">
        <v>486</v>
      </c>
      <c r="G89" s="38"/>
    </row>
    <row r="90" spans="1:8" x14ac:dyDescent="0.2">
      <c r="A90" s="412" t="s">
        <v>218</v>
      </c>
      <c r="B90" s="96">
        <v>47</v>
      </c>
      <c r="C90" s="96">
        <v>44</v>
      </c>
      <c r="D90" s="96">
        <v>2138</v>
      </c>
      <c r="E90" s="96">
        <v>6751</v>
      </c>
      <c r="F90" s="96">
        <v>6751</v>
      </c>
      <c r="G90" s="38"/>
    </row>
    <row r="91" spans="1:8" x14ac:dyDescent="0.2">
      <c r="A91" s="411" t="s">
        <v>216</v>
      </c>
      <c r="B91" s="94">
        <f>SUM(B86:B90)</f>
        <v>7068</v>
      </c>
      <c r="C91" s="94">
        <f>SUM(C86:C90)</f>
        <v>8432</v>
      </c>
      <c r="D91" s="94">
        <f>SUM(D86:D90)</f>
        <v>23724</v>
      </c>
      <c r="E91" s="94">
        <f>SUM(E86:E90)</f>
        <v>36265</v>
      </c>
      <c r="F91" s="94">
        <f>SUM(F86:F90)</f>
        <v>49385</v>
      </c>
      <c r="G91" s="39"/>
    </row>
    <row r="92" spans="1:8" x14ac:dyDescent="0.2">
      <c r="A92" s="98"/>
      <c r="B92" s="94"/>
      <c r="C92" s="94"/>
      <c r="D92" s="94" t="s">
        <v>22</v>
      </c>
      <c r="E92" s="39"/>
      <c r="F92" s="38"/>
      <c r="G92" s="38"/>
    </row>
    <row r="93" spans="1:8" x14ac:dyDescent="0.2">
      <c r="A93" s="415" t="s">
        <v>225</v>
      </c>
      <c r="B93" s="186"/>
      <c r="C93" s="186"/>
      <c r="D93" s="186"/>
      <c r="E93" s="105"/>
      <c r="F93" s="90"/>
      <c r="G93" s="38"/>
    </row>
    <row r="94" spans="1:8" x14ac:dyDescent="0.2">
      <c r="A94" s="408" t="s">
        <v>211</v>
      </c>
      <c r="B94" s="94">
        <v>5413</v>
      </c>
      <c r="C94" s="94">
        <v>5987</v>
      </c>
      <c r="D94" s="94">
        <v>16472</v>
      </c>
      <c r="E94" s="94">
        <v>18785</v>
      </c>
      <c r="F94" s="94">
        <v>24690</v>
      </c>
      <c r="G94" s="38"/>
    </row>
    <row r="95" spans="1:8" x14ac:dyDescent="0.2">
      <c r="A95" s="409" t="s">
        <v>212</v>
      </c>
      <c r="B95" s="180">
        <v>1648</v>
      </c>
      <c r="C95" s="180">
        <v>1854</v>
      </c>
      <c r="D95" s="180">
        <v>4995</v>
      </c>
      <c r="E95" s="180">
        <v>5174</v>
      </c>
      <c r="F95" s="180">
        <v>7084</v>
      </c>
      <c r="G95" s="38"/>
    </row>
    <row r="96" spans="1:8" x14ac:dyDescent="0.2">
      <c r="A96" s="408" t="s">
        <v>213</v>
      </c>
      <c r="B96" s="180">
        <v>3299</v>
      </c>
      <c r="C96" s="180">
        <v>2842</v>
      </c>
      <c r="D96" s="180">
        <v>9825</v>
      </c>
      <c r="E96" s="180">
        <v>8403</v>
      </c>
      <c r="F96" s="180">
        <v>11276</v>
      </c>
      <c r="G96" s="38"/>
    </row>
    <row r="97" spans="1:8" x14ac:dyDescent="0.2">
      <c r="A97" s="408" t="s">
        <v>214</v>
      </c>
      <c r="B97" s="95">
        <v>61</v>
      </c>
      <c r="C97" s="95">
        <v>73</v>
      </c>
      <c r="D97" s="95">
        <v>213</v>
      </c>
      <c r="E97" s="95">
        <v>211</v>
      </c>
      <c r="F97" s="95">
        <v>281</v>
      </c>
      <c r="G97" s="38"/>
    </row>
    <row r="98" spans="1:8" x14ac:dyDescent="0.2">
      <c r="A98" s="412" t="s">
        <v>218</v>
      </c>
      <c r="B98" s="96">
        <f>4+2</f>
        <v>6</v>
      </c>
      <c r="C98" s="96">
        <v>1</v>
      </c>
      <c r="D98" s="96">
        <f>11+2</f>
        <v>13</v>
      </c>
      <c r="E98" s="96">
        <v>5</v>
      </c>
      <c r="F98" s="96">
        <v>9</v>
      </c>
      <c r="G98" s="38"/>
    </row>
    <row r="99" spans="1:8" x14ac:dyDescent="0.2">
      <c r="A99" s="411" t="s">
        <v>216</v>
      </c>
      <c r="B99" s="94">
        <f>SUM(B94:B98)</f>
        <v>10427</v>
      </c>
      <c r="C99" s="94">
        <f>SUM(C94:C98)</f>
        <v>10757</v>
      </c>
      <c r="D99" s="94">
        <f>SUM(D94:D98)</f>
        <v>31518</v>
      </c>
      <c r="E99" s="94">
        <f>SUM(E94:E98)</f>
        <v>32578</v>
      </c>
      <c r="F99" s="94">
        <f>SUM(F94:F98)</f>
        <v>43340</v>
      </c>
      <c r="G99" s="38"/>
    </row>
    <row r="100" spans="1:8" x14ac:dyDescent="0.2">
      <c r="A100" s="85"/>
      <c r="B100" s="94"/>
      <c r="C100" s="94"/>
      <c r="D100" s="94"/>
      <c r="E100" s="95"/>
      <c r="F100" s="94"/>
      <c r="G100" s="39"/>
      <c r="H100" s="38"/>
    </row>
    <row r="101" spans="1:8" x14ac:dyDescent="0.2">
      <c r="A101" s="415" t="s">
        <v>226</v>
      </c>
      <c r="B101" s="94"/>
      <c r="C101" s="94"/>
      <c r="D101" s="94"/>
      <c r="E101" s="95"/>
      <c r="F101" s="39"/>
      <c r="G101" s="38"/>
    </row>
    <row r="102" spans="1:8" x14ac:dyDescent="0.2">
      <c r="A102" s="408" t="s">
        <v>211</v>
      </c>
      <c r="E102" s="94">
        <v>302</v>
      </c>
      <c r="F102" s="94">
        <v>302</v>
      </c>
      <c r="G102" s="38"/>
    </row>
    <row r="103" spans="1:8" x14ac:dyDescent="0.2">
      <c r="A103" s="409" t="s">
        <v>212</v>
      </c>
      <c r="E103" s="94"/>
      <c r="F103" s="94"/>
      <c r="G103" s="38"/>
    </row>
    <row r="104" spans="1:8" x14ac:dyDescent="0.2">
      <c r="A104" s="408" t="s">
        <v>213</v>
      </c>
      <c r="E104" s="94"/>
      <c r="F104" s="94"/>
      <c r="G104" s="38"/>
    </row>
    <row r="105" spans="1:8" x14ac:dyDescent="0.2">
      <c r="A105" s="408" t="s">
        <v>214</v>
      </c>
      <c r="E105" s="94"/>
      <c r="F105" s="94"/>
      <c r="G105" s="38"/>
    </row>
    <row r="106" spans="1:8" x14ac:dyDescent="0.2">
      <c r="A106" s="412" t="s">
        <v>218</v>
      </c>
      <c r="B106" s="96"/>
      <c r="C106" s="96"/>
      <c r="D106" s="96">
        <v>5027</v>
      </c>
      <c r="E106" s="96"/>
      <c r="F106" s="96"/>
      <c r="G106" s="38"/>
    </row>
    <row r="107" spans="1:8" x14ac:dyDescent="0.2">
      <c r="A107" s="411" t="s">
        <v>216</v>
      </c>
      <c r="B107" s="94">
        <f>SUM(B102:B106)</f>
        <v>0</v>
      </c>
      <c r="C107" s="94">
        <f>SUM(C102:C106)</f>
        <v>0</v>
      </c>
      <c r="D107" s="94">
        <f>SUM(D102:D106)</f>
        <v>5027</v>
      </c>
      <c r="E107" s="94">
        <f>SUM(E102:E106)</f>
        <v>302</v>
      </c>
      <c r="F107" s="94">
        <f>SUM(F102:F106)</f>
        <v>302</v>
      </c>
    </row>
    <row r="108" spans="1:8" x14ac:dyDescent="0.2">
      <c r="E108" s="38"/>
    </row>
    <row r="109" spans="1:8" x14ac:dyDescent="0.2">
      <c r="B109" s="37"/>
    </row>
    <row r="110" spans="1:8" x14ac:dyDescent="0.2">
      <c r="B110" s="37"/>
    </row>
    <row r="113" spans="1:1" x14ac:dyDescent="0.2">
      <c r="A113" s="90"/>
    </row>
    <row r="114" spans="1:1" x14ac:dyDescent="0.2">
      <c r="A114" s="38"/>
    </row>
    <row r="115" spans="1:1" x14ac:dyDescent="0.2">
      <c r="A115" s="197"/>
    </row>
    <row r="116" spans="1:1" x14ac:dyDescent="0.2">
      <c r="A116" s="197"/>
    </row>
    <row r="117" spans="1:1" x14ac:dyDescent="0.2">
      <c r="A117" s="38"/>
    </row>
    <row r="118" spans="1:1" x14ac:dyDescent="0.2">
      <c r="A118" s="38"/>
    </row>
    <row r="119" spans="1:1" x14ac:dyDescent="0.2">
      <c r="A119" s="38"/>
    </row>
    <row r="120" spans="1:1" x14ac:dyDescent="0.2">
      <c r="A120" s="38"/>
    </row>
  </sheetData>
  <phoneticPr fontId="3" type="noConversion"/>
  <pageMargins left="0.78740157480314965" right="0.23622047244094491" top="0.33" bottom="0.24" header="0.51181102362204722" footer="0.4"/>
  <pageSetup paperSize="9" scale="58"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ul9" enableFormatConditionsCalculation="0">
    <pageSetUpPr fitToPage="1"/>
  </sheetPr>
  <dimension ref="A1:L35"/>
  <sheetViews>
    <sheetView zoomScaleNormal="100" workbookViewId="0"/>
  </sheetViews>
  <sheetFormatPr defaultRowHeight="12.75" x14ac:dyDescent="0.2"/>
  <cols>
    <col min="1" max="1" width="31.28515625" style="24" customWidth="1"/>
    <col min="2" max="7" width="13.5703125" style="24" customWidth="1"/>
    <col min="8" max="8" width="11.28515625" style="24" customWidth="1"/>
    <col min="9" max="9" width="10.140625" style="24" bestFit="1" customWidth="1"/>
    <col min="10" max="16384" width="9.140625" style="24"/>
  </cols>
  <sheetData>
    <row r="1" spans="1:12" x14ac:dyDescent="0.2">
      <c r="A1" s="23" t="s">
        <v>5</v>
      </c>
      <c r="B1" s="23"/>
      <c r="C1" s="23"/>
      <c r="D1" s="23"/>
      <c r="E1" s="23"/>
      <c r="F1" s="23"/>
      <c r="G1" s="23"/>
    </row>
    <row r="3" spans="1:12" ht="15.75" x14ac:dyDescent="0.25">
      <c r="A3" s="417" t="s">
        <v>227</v>
      </c>
      <c r="B3" s="50"/>
      <c r="C3" s="50"/>
      <c r="D3" s="50"/>
      <c r="E3" s="50"/>
      <c r="F3" s="50"/>
      <c r="G3" s="50"/>
    </row>
    <row r="4" spans="1:12" x14ac:dyDescent="0.2">
      <c r="H4" s="25"/>
    </row>
    <row r="5" spans="1:12" x14ac:dyDescent="0.2">
      <c r="A5" s="363" t="s">
        <v>38</v>
      </c>
      <c r="B5" s="211" t="s">
        <v>31</v>
      </c>
      <c r="C5" s="211" t="s">
        <v>30</v>
      </c>
      <c r="D5" s="211" t="s">
        <v>28</v>
      </c>
      <c r="E5" s="211" t="s">
        <v>25</v>
      </c>
      <c r="F5" s="211" t="s">
        <v>24</v>
      </c>
      <c r="G5" s="211" t="s">
        <v>23</v>
      </c>
      <c r="H5" s="211" t="s">
        <v>19</v>
      </c>
    </row>
    <row r="6" spans="1:12" x14ac:dyDescent="0.2">
      <c r="A6" s="38"/>
      <c r="E6" s="38"/>
      <c r="F6" s="38"/>
      <c r="G6" s="38"/>
      <c r="H6" s="38"/>
    </row>
    <row r="7" spans="1:12" x14ac:dyDescent="0.2">
      <c r="A7" s="417" t="s">
        <v>39</v>
      </c>
      <c r="E7" s="25"/>
      <c r="F7" s="25"/>
      <c r="G7" s="25"/>
      <c r="H7" s="25"/>
    </row>
    <row r="8" spans="1:12" x14ac:dyDescent="0.2">
      <c r="A8" s="98" t="s">
        <v>211</v>
      </c>
      <c r="B8" s="37">
        <v>65433</v>
      </c>
      <c r="C8" s="37">
        <v>66597</v>
      </c>
      <c r="D8" s="37">
        <v>60201</v>
      </c>
      <c r="E8" s="37">
        <v>64670</v>
      </c>
      <c r="F8" s="37">
        <v>66388</v>
      </c>
      <c r="G8" s="37">
        <v>69136</v>
      </c>
      <c r="H8" s="37">
        <v>65467</v>
      </c>
      <c r="I8" s="42"/>
      <c r="J8" s="42"/>
      <c r="K8" s="42"/>
      <c r="L8" s="42"/>
    </row>
    <row r="9" spans="1:12" x14ac:dyDescent="0.2">
      <c r="A9" s="418" t="s">
        <v>212</v>
      </c>
      <c r="B9" s="37">
        <v>20933</v>
      </c>
      <c r="C9" s="37">
        <v>20002</v>
      </c>
      <c r="D9" s="37">
        <v>13730</v>
      </c>
      <c r="E9" s="280">
        <v>18770</v>
      </c>
      <c r="F9" s="280">
        <v>18145</v>
      </c>
      <c r="G9" s="280">
        <v>20158</v>
      </c>
      <c r="H9" s="280">
        <v>12923</v>
      </c>
      <c r="I9" s="42"/>
      <c r="J9" s="42"/>
    </row>
    <row r="10" spans="1:12" x14ac:dyDescent="0.2">
      <c r="A10" s="418" t="s">
        <v>213</v>
      </c>
      <c r="B10" s="37">
        <v>71645</v>
      </c>
      <c r="C10" s="37">
        <v>73395</v>
      </c>
      <c r="D10" s="37">
        <v>75796</v>
      </c>
      <c r="E10" s="280">
        <v>74789</v>
      </c>
      <c r="F10" s="280">
        <v>72708</v>
      </c>
      <c r="G10" s="280">
        <v>72376</v>
      </c>
      <c r="H10" s="280">
        <v>79620</v>
      </c>
      <c r="I10" s="42"/>
      <c r="J10" s="42"/>
    </row>
    <row r="11" spans="1:12" x14ac:dyDescent="0.2">
      <c r="A11" s="418" t="s">
        <v>214</v>
      </c>
      <c r="B11" s="37">
        <v>7430</v>
      </c>
      <c r="C11" s="37">
        <v>12991</v>
      </c>
      <c r="D11" s="37">
        <v>21770</v>
      </c>
      <c r="E11" s="280">
        <v>18287</v>
      </c>
      <c r="F11" s="280">
        <v>7977</v>
      </c>
      <c r="G11" s="280">
        <v>12099</v>
      </c>
      <c r="H11" s="280">
        <v>17584</v>
      </c>
      <c r="I11" s="42"/>
      <c r="J11" s="42"/>
    </row>
    <row r="12" spans="1:12" s="98" customFormat="1" x14ac:dyDescent="0.2">
      <c r="A12" s="97" t="s">
        <v>218</v>
      </c>
      <c r="B12" s="37"/>
      <c r="C12" s="37"/>
      <c r="D12" s="37"/>
      <c r="I12" s="189"/>
      <c r="J12" s="189"/>
    </row>
    <row r="13" spans="1:12" x14ac:dyDescent="0.2">
      <c r="A13" s="187" t="s">
        <v>228</v>
      </c>
      <c r="B13" s="195">
        <v>-3532</v>
      </c>
      <c r="C13" s="195">
        <v>-4103</v>
      </c>
      <c r="D13" s="195">
        <v>-3776</v>
      </c>
      <c r="E13" s="96">
        <v>-4725</v>
      </c>
      <c r="F13" s="96">
        <v>-4002</v>
      </c>
      <c r="G13" s="96">
        <v>-4077</v>
      </c>
      <c r="H13" s="96">
        <v>-4308</v>
      </c>
      <c r="I13" s="42"/>
      <c r="J13" s="42"/>
    </row>
    <row r="14" spans="1:12" x14ac:dyDescent="0.2">
      <c r="A14" s="85" t="s">
        <v>216</v>
      </c>
      <c r="B14" s="31">
        <f>SUM(B8:B13)</f>
        <v>161909</v>
      </c>
      <c r="C14" s="31">
        <f t="shared" ref="C14:H14" si="0">SUM(C8:C13)</f>
        <v>168882</v>
      </c>
      <c r="D14" s="31">
        <f t="shared" si="0"/>
        <v>167721</v>
      </c>
      <c r="E14" s="31">
        <f t="shared" si="0"/>
        <v>171791</v>
      </c>
      <c r="F14" s="31">
        <f t="shared" si="0"/>
        <v>161216</v>
      </c>
      <c r="G14" s="31">
        <f t="shared" si="0"/>
        <v>169692</v>
      </c>
      <c r="H14" s="31">
        <f t="shared" si="0"/>
        <v>171286</v>
      </c>
      <c r="I14" s="43"/>
      <c r="J14" s="42"/>
      <c r="K14" s="42"/>
      <c r="L14" s="42"/>
    </row>
    <row r="15" spans="1:12" x14ac:dyDescent="0.2">
      <c r="A15" s="98"/>
      <c r="I15" s="42"/>
    </row>
    <row r="16" spans="1:12" x14ac:dyDescent="0.2">
      <c r="A16" s="417" t="s">
        <v>48</v>
      </c>
      <c r="E16" s="25"/>
      <c r="F16" s="25"/>
      <c r="G16" s="25"/>
      <c r="H16" s="25"/>
      <c r="I16" s="37"/>
    </row>
    <row r="17" spans="1:10" x14ac:dyDescent="0.2">
      <c r="A17" s="98" t="s">
        <v>211</v>
      </c>
      <c r="B17" s="37">
        <v>11888</v>
      </c>
      <c r="C17" s="37">
        <v>9059</v>
      </c>
      <c r="D17" s="37">
        <v>6224</v>
      </c>
      <c r="E17" s="37">
        <v>6592</v>
      </c>
      <c r="F17" s="37">
        <v>11019</v>
      </c>
      <c r="G17" s="37">
        <v>12368</v>
      </c>
      <c r="H17" s="37">
        <v>4272</v>
      </c>
      <c r="I17" s="37"/>
      <c r="J17" s="37"/>
    </row>
    <row r="18" spans="1:10" x14ac:dyDescent="0.2">
      <c r="A18" s="418" t="s">
        <v>212</v>
      </c>
      <c r="B18" s="37">
        <v>2281</v>
      </c>
      <c r="C18" s="37">
        <v>1895</v>
      </c>
      <c r="D18" s="37">
        <v>-519</v>
      </c>
      <c r="E18" s="280">
        <v>1161</v>
      </c>
      <c r="F18" s="280">
        <v>1789</v>
      </c>
      <c r="G18" s="280">
        <v>2199</v>
      </c>
      <c r="H18" s="280">
        <v>-1257</v>
      </c>
      <c r="I18" s="37"/>
      <c r="J18" s="37"/>
    </row>
    <row r="19" spans="1:10" x14ac:dyDescent="0.2">
      <c r="A19" s="418" t="s">
        <v>213</v>
      </c>
      <c r="B19" s="37">
        <v>6745</v>
      </c>
      <c r="C19" s="37">
        <v>2830</v>
      </c>
      <c r="D19" s="37">
        <v>429</v>
      </c>
      <c r="E19" s="280">
        <v>2516</v>
      </c>
      <c r="F19" s="280">
        <v>7843</v>
      </c>
      <c r="G19" s="280">
        <v>1025</v>
      </c>
      <c r="H19" s="280">
        <v>1596</v>
      </c>
      <c r="I19" s="37"/>
      <c r="J19" s="37"/>
    </row>
    <row r="20" spans="1:10" x14ac:dyDescent="0.2">
      <c r="A20" s="418" t="s">
        <v>214</v>
      </c>
      <c r="B20" s="37">
        <v>-203</v>
      </c>
      <c r="C20" s="37">
        <v>94</v>
      </c>
      <c r="D20" s="37">
        <v>967</v>
      </c>
      <c r="E20" s="180">
        <v>269</v>
      </c>
      <c r="F20" s="180">
        <v>-384</v>
      </c>
      <c r="G20" s="180">
        <v>-733</v>
      </c>
      <c r="H20" s="180">
        <v>787</v>
      </c>
      <c r="I20" s="37"/>
      <c r="J20" s="37"/>
    </row>
    <row r="21" spans="1:10" x14ac:dyDescent="0.2">
      <c r="A21" s="187" t="s">
        <v>218</v>
      </c>
      <c r="B21" s="195">
        <v>-692</v>
      </c>
      <c r="C21" s="195">
        <v>-5397</v>
      </c>
      <c r="D21" s="195">
        <v>-803</v>
      </c>
      <c r="E21" s="195">
        <v>-853</v>
      </c>
      <c r="F21" s="195">
        <v>-638</v>
      </c>
      <c r="G21" s="195">
        <v>-715</v>
      </c>
      <c r="H21" s="195">
        <v>-465</v>
      </c>
      <c r="I21" s="37"/>
      <c r="J21" s="37"/>
    </row>
    <row r="22" spans="1:10" x14ac:dyDescent="0.2">
      <c r="A22" s="85" t="s">
        <v>216</v>
      </c>
      <c r="B22" s="31">
        <f>SUM(B17:B21)</f>
        <v>20019</v>
      </c>
      <c r="C22" s="31">
        <f t="shared" ref="C22:H22" si="1">SUM(C17:C21)</f>
        <v>8481</v>
      </c>
      <c r="D22" s="31">
        <f t="shared" si="1"/>
        <v>6298</v>
      </c>
      <c r="E22" s="31">
        <f t="shared" si="1"/>
        <v>9685</v>
      </c>
      <c r="F22" s="31">
        <f t="shared" si="1"/>
        <v>19629</v>
      </c>
      <c r="G22" s="31">
        <f t="shared" si="1"/>
        <v>14144</v>
      </c>
      <c r="H22" s="31">
        <f t="shared" si="1"/>
        <v>4933</v>
      </c>
      <c r="I22" s="37"/>
      <c r="J22" s="37"/>
    </row>
    <row r="23" spans="1:10" x14ac:dyDescent="0.2">
      <c r="A23" s="98"/>
      <c r="I23" s="44"/>
    </row>
    <row r="24" spans="1:10" x14ac:dyDescent="0.2">
      <c r="A24" s="417" t="s">
        <v>229</v>
      </c>
      <c r="E24" s="25"/>
      <c r="F24" s="25"/>
      <c r="G24" s="25"/>
      <c r="H24" s="25"/>
      <c r="I24" s="28"/>
    </row>
    <row r="25" spans="1:10" x14ac:dyDescent="0.2">
      <c r="A25" s="98" t="s">
        <v>211</v>
      </c>
      <c r="B25" s="99">
        <f>B17/B8*100</f>
        <v>18.168202588907736</v>
      </c>
      <c r="C25" s="99">
        <f t="shared" ref="C25:D28" si="2">C17/C8*100</f>
        <v>13.602714837004671</v>
      </c>
      <c r="D25" s="99">
        <f t="shared" si="2"/>
        <v>10.338698692712747</v>
      </c>
      <c r="E25" s="99">
        <f t="shared" ref="E25:F28" si="3">E17/E8*100</f>
        <v>10.193289005721356</v>
      </c>
      <c r="F25" s="99">
        <f t="shared" si="3"/>
        <v>16.597879134783394</v>
      </c>
      <c r="G25" s="99">
        <f>G17/G8*100</f>
        <v>17.889377458921548</v>
      </c>
      <c r="H25" s="99">
        <f>H17/H8*100</f>
        <v>6.5254250232941793</v>
      </c>
      <c r="I25" s="44"/>
    </row>
    <row r="26" spans="1:10" s="98" customFormat="1" x14ac:dyDescent="0.2">
      <c r="A26" s="418" t="s">
        <v>212</v>
      </c>
      <c r="B26" s="188">
        <f>B18/B9*100</f>
        <v>10.896670329145367</v>
      </c>
      <c r="C26" s="188">
        <f t="shared" si="2"/>
        <v>9.4740525947405256</v>
      </c>
      <c r="D26" s="188">
        <f t="shared" si="2"/>
        <v>-3.7800436999271665</v>
      </c>
      <c r="E26" s="188">
        <f t="shared" si="3"/>
        <v>6.1854022376132125</v>
      </c>
      <c r="F26" s="188">
        <f t="shared" si="3"/>
        <v>9.8594654174703766</v>
      </c>
      <c r="G26" s="188">
        <f t="shared" ref="G26:H28" si="4">G18/G9*100</f>
        <v>10.908820319476138</v>
      </c>
      <c r="H26" s="188">
        <f t="shared" si="4"/>
        <v>-9.7268436121643589</v>
      </c>
      <c r="I26" s="94"/>
    </row>
    <row r="27" spans="1:10" s="98" customFormat="1" x14ac:dyDescent="0.2">
      <c r="A27" s="418" t="s">
        <v>213</v>
      </c>
      <c r="B27" s="188">
        <f>B19/B10*100</f>
        <v>9.4144741433456627</v>
      </c>
      <c r="C27" s="188">
        <f t="shared" si="2"/>
        <v>3.8558484910416237</v>
      </c>
      <c r="D27" s="188">
        <f t="shared" si="2"/>
        <v>0.56599292838672222</v>
      </c>
      <c r="E27" s="188">
        <f t="shared" si="3"/>
        <v>3.3641310887964808</v>
      </c>
      <c r="F27" s="188">
        <f t="shared" si="3"/>
        <v>10.786983550640921</v>
      </c>
      <c r="G27" s="188">
        <f t="shared" si="4"/>
        <v>1.4162153199955787</v>
      </c>
      <c r="H27" s="188">
        <f t="shared" si="4"/>
        <v>2.0045214770158251</v>
      </c>
      <c r="I27" s="94"/>
    </row>
    <row r="28" spans="1:10" x14ac:dyDescent="0.2">
      <c r="A28" s="419" t="s">
        <v>214</v>
      </c>
      <c r="B28" s="169">
        <f>B20/B11*100</f>
        <v>-2.7321668909825036</v>
      </c>
      <c r="C28" s="169">
        <f t="shared" si="2"/>
        <v>0.72357786159648985</v>
      </c>
      <c r="D28" s="169">
        <f t="shared" si="2"/>
        <v>4.4418925126320623</v>
      </c>
      <c r="E28" s="169">
        <f t="shared" si="3"/>
        <v>1.4709903209930553</v>
      </c>
      <c r="F28" s="169">
        <f t="shared" si="3"/>
        <v>-4.8138397893945095</v>
      </c>
      <c r="G28" s="169">
        <f t="shared" si="4"/>
        <v>-6.0583519299115629</v>
      </c>
      <c r="H28" s="169">
        <f t="shared" si="4"/>
        <v>4.4756596906278441</v>
      </c>
      <c r="I28" s="37"/>
    </row>
    <row r="29" spans="1:10" x14ac:dyDescent="0.2">
      <c r="A29" s="85" t="s">
        <v>216</v>
      </c>
      <c r="B29" s="99">
        <f>B22/B14*100</f>
        <v>12.364352815470419</v>
      </c>
      <c r="C29" s="99">
        <f t="shared" ref="C29:H29" si="5">C22/C14*100</f>
        <v>5.0218495754432091</v>
      </c>
      <c r="D29" s="99">
        <f t="shared" si="5"/>
        <v>3.7550455816504789</v>
      </c>
      <c r="E29" s="99">
        <f t="shared" si="5"/>
        <v>5.6376643712418</v>
      </c>
      <c r="F29" s="99">
        <f t="shared" si="5"/>
        <v>12.175590512107979</v>
      </c>
      <c r="G29" s="99">
        <f t="shared" si="5"/>
        <v>8.3351012422506656</v>
      </c>
      <c r="H29" s="99">
        <f t="shared" si="5"/>
        <v>2.8799785154653623</v>
      </c>
      <c r="I29" s="37"/>
    </row>
    <row r="30" spans="1:10" x14ac:dyDescent="0.2">
      <c r="A30" s="98"/>
      <c r="I30" s="37"/>
    </row>
    <row r="31" spans="1:10" x14ac:dyDescent="0.2">
      <c r="A31" s="187" t="s">
        <v>219</v>
      </c>
      <c r="B31" s="96">
        <v>-1132</v>
      </c>
      <c r="C31" s="40">
        <v>-590</v>
      </c>
      <c r="D31" s="40">
        <v>-408</v>
      </c>
      <c r="E31" s="96">
        <v>-512</v>
      </c>
      <c r="F31" s="96">
        <v>-568</v>
      </c>
      <c r="G31" s="96">
        <v>-3356</v>
      </c>
      <c r="H31" s="96">
        <v>-960</v>
      </c>
    </row>
    <row r="32" spans="1:10" x14ac:dyDescent="0.2">
      <c r="A32" s="97"/>
      <c r="E32" s="38"/>
      <c r="F32" s="38"/>
      <c r="G32" s="38"/>
      <c r="H32" s="38"/>
    </row>
    <row r="33" spans="1:8" x14ac:dyDescent="0.2">
      <c r="A33" s="420" t="s">
        <v>51</v>
      </c>
      <c r="B33" s="93">
        <f t="shared" ref="B33:G33" si="6">B22+B31</f>
        <v>18887</v>
      </c>
      <c r="C33" s="93">
        <f t="shared" si="6"/>
        <v>7891</v>
      </c>
      <c r="D33" s="93">
        <f t="shared" si="6"/>
        <v>5890</v>
      </c>
      <c r="E33" s="93">
        <f t="shared" si="6"/>
        <v>9173</v>
      </c>
      <c r="F33" s="93">
        <f t="shared" si="6"/>
        <v>19061</v>
      </c>
      <c r="G33" s="93">
        <f t="shared" si="6"/>
        <v>10788</v>
      </c>
      <c r="H33" s="93">
        <v>3973</v>
      </c>
    </row>
    <row r="34" spans="1:8" x14ac:dyDescent="0.2">
      <c r="H34" s="37"/>
    </row>
    <row r="35" spans="1:8" x14ac:dyDescent="0.2">
      <c r="H35" s="37"/>
    </row>
  </sheetData>
  <phoneticPr fontId="3" type="noConversion"/>
  <pageMargins left="0.75" right="0.75" top="1" bottom="1" header="0.4921259845" footer="0.4921259845"/>
  <pageSetup paperSize="9" orientation="landscape" horizontalDpi="12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7C1302F8C380044BC271D4C80AB6D10" ma:contentTypeVersion="1" ma:contentTypeDescription="Create a new document." ma:contentTypeScope="" ma:versionID="a313e8d638d512fb89d20fde54e7f4c5">
  <xsd:schema xmlns:xsd="http://www.w3.org/2001/XMLSchema" xmlns:xs="http://www.w3.org/2001/XMLSchema" xmlns:p="http://schemas.microsoft.com/office/2006/metadata/properties" xmlns:ns1="http://schemas.microsoft.com/sharepoint/v3" targetNamespace="http://schemas.microsoft.com/office/2006/metadata/properties" ma:root="true" ma:fieldsID="19ede44a62996045a90702d604845a76"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9CEF43-30ED-4BDA-8FBD-78FAC2424455}"/>
</file>

<file path=customXml/itemProps2.xml><?xml version="1.0" encoding="utf-8"?>
<ds:datastoreItem xmlns:ds="http://schemas.openxmlformats.org/officeDocument/2006/customXml" ds:itemID="{4947A7FD-E260-4090-A1A6-4B0144107DE0}"/>
</file>

<file path=customXml/itemProps3.xml><?xml version="1.0" encoding="utf-8"?>
<ds:datastoreItem xmlns:ds="http://schemas.openxmlformats.org/officeDocument/2006/customXml" ds:itemID="{7EF06765-E775-40CE-9622-00AE2946C59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13</vt:i4>
      </vt:variant>
      <vt:variant>
        <vt:lpstr>Nimetyt alueet</vt:lpstr>
      </vt:variant>
      <vt:variant>
        <vt:i4>10</vt:i4>
      </vt:variant>
    </vt:vector>
  </HeadingPairs>
  <TitlesOfParts>
    <vt:vector size="23" baseType="lpstr">
      <vt:lpstr>Consolidated income statement</vt:lpstr>
      <vt:lpstr>Comprehensive income statement</vt:lpstr>
      <vt:lpstr>Statement of financial position</vt:lpstr>
      <vt:lpstr>Statement of changes in equity</vt:lpstr>
      <vt:lpstr>Operating profit excl. EO items</vt:lpstr>
      <vt:lpstr>Key figures</vt:lpstr>
      <vt:lpstr>Statement of cash flows</vt:lpstr>
      <vt:lpstr>Segment information</vt:lpstr>
      <vt:lpstr>Quarterly</vt:lpstr>
      <vt:lpstr>Intang asset, PPT, CAP COMM</vt:lpstr>
      <vt:lpstr>Related-party transactions</vt:lpstr>
      <vt:lpstr>Financial assets and liabilitie</vt:lpstr>
      <vt:lpstr>Contingent liabilities</vt:lpstr>
      <vt:lpstr>'Comprehensive income statement'!Tulostusalue</vt:lpstr>
      <vt:lpstr>'Consolidated income statement'!Tulostusalue</vt:lpstr>
      <vt:lpstr>'Contingent liabilities'!Tulostusalue</vt:lpstr>
      <vt:lpstr>'Key figures'!Tulostusalue</vt:lpstr>
      <vt:lpstr>'Operating profit excl. EO items'!Tulostusalue</vt:lpstr>
      <vt:lpstr>Quarterly!Tulostusalue</vt:lpstr>
      <vt:lpstr>'Related-party transactions'!Tulostusalue</vt:lpstr>
      <vt:lpstr>'Segment information'!Tulostusalue</vt:lpstr>
      <vt:lpstr>'Statement of cash flows'!Tulostusalue</vt:lpstr>
      <vt:lpstr>'Statement of financial position'!Tulostusalue</vt:lpstr>
    </vt:vector>
  </TitlesOfParts>
  <Company>Lassila &amp; Tikanoja Oyj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Sarsila-Etelämäki Unka</dc:creator>
  <cp:lastModifiedBy>Sara Anttila</cp:lastModifiedBy>
  <cp:lastPrinted>2013-10-21T09:02:59Z</cp:lastPrinted>
  <dcterms:created xsi:type="dcterms:W3CDTF">2007-03-05T06:29:45Z</dcterms:created>
  <dcterms:modified xsi:type="dcterms:W3CDTF">2013-10-21T18:15:37Z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0x010100B7C1302F8C380044BC271D4C80AB6D10</vt:lpwstr>
  </property>
  <property fmtid="{D5CDD505-2E9C-101B-9397-08002B2CF9AE}" pid="3" name="Order">
    <vt:r8>18300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